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Thuy\VB góp ý dự thảo\2026\5.26\CV 10146 So Xay dung\"/>
    </mc:Choice>
  </mc:AlternateContent>
  <bookViews>
    <workbookView xWindow="-120" yWindow="-120" windowWidth="29040" windowHeight="15720"/>
  </bookViews>
  <sheets>
    <sheet name="Sheet1" sheetId="1" r:id="rId1"/>
    <sheet name="Sheet2" sheetId="2" r:id="rId2"/>
  </sheets>
  <externalReferences>
    <externalReference r:id="rId3"/>
  </externalReferences>
  <definedNames>
    <definedName name="_xlnm.Print_Area" localSheetId="0">Sheet1!$A$1:$I$31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50" i="2" l="1"/>
  <c r="F150" i="2"/>
  <c r="J147" i="2"/>
  <c r="I147" i="2"/>
  <c r="J145" i="2"/>
  <c r="J149" i="2" s="1"/>
  <c r="I145" i="2"/>
  <c r="I149" i="2" s="1"/>
  <c r="F132" i="2"/>
  <c r="L131" i="2"/>
  <c r="G130" i="2"/>
  <c r="F130" i="2"/>
  <c r="F127" i="2"/>
  <c r="F126" i="2"/>
  <c r="F125" i="2"/>
  <c r="F116" i="2" s="1"/>
  <c r="F124" i="2"/>
  <c r="G122" i="2"/>
  <c r="G121" i="2"/>
  <c r="G125" i="2" s="1"/>
  <c r="L120" i="2"/>
  <c r="G120" i="2"/>
  <c r="G118" i="2"/>
  <c r="G124" i="2" s="1"/>
  <c r="G116" i="2"/>
  <c r="G110" i="2"/>
  <c r="G109" i="2" s="1"/>
  <c r="G108" i="2" s="1"/>
  <c r="G100" i="2" s="1"/>
  <c r="F110" i="2"/>
  <c r="F109" i="2"/>
  <c r="F107" i="2"/>
  <c r="F106" i="2"/>
  <c r="F105" i="2"/>
  <c r="F104" i="2" s="1"/>
  <c r="G99" i="2"/>
  <c r="G98" i="2"/>
  <c r="F97" i="2"/>
  <c r="G97" i="2" s="1"/>
  <c r="F91" i="2"/>
  <c r="F93" i="2" s="1"/>
  <c r="H87" i="2"/>
  <c r="H89" i="2" s="1"/>
  <c r="H86" i="2" s="1"/>
  <c r="G81" i="2"/>
  <c r="G80" i="2"/>
  <c r="G79" i="2"/>
  <c r="F77" i="2"/>
  <c r="F34" i="2" s="1"/>
  <c r="G34" i="2" s="1"/>
  <c r="F76" i="2"/>
  <c r="G75" i="2"/>
  <c r="F74" i="2"/>
  <c r="G74" i="2" s="1"/>
  <c r="H72" i="2"/>
  <c r="G72" i="2"/>
  <c r="F71" i="2"/>
  <c r="G71" i="2" s="1"/>
  <c r="F70" i="2"/>
  <c r="G70" i="2" s="1"/>
  <c r="F69" i="2"/>
  <c r="G69" i="2" s="1"/>
  <c r="F64" i="2"/>
  <c r="F65" i="2" s="1"/>
  <c r="G63" i="2"/>
  <c r="G62" i="2"/>
  <c r="G61" i="2"/>
  <c r="G60" i="2"/>
  <c r="G59" i="2"/>
  <c r="I58" i="2"/>
  <c r="G56" i="2"/>
  <c r="G55" i="2"/>
  <c r="F54" i="2"/>
  <c r="F57" i="2" s="1"/>
  <c r="G51" i="2"/>
  <c r="G50" i="2"/>
  <c r="G49" i="2"/>
  <c r="F48" i="2"/>
  <c r="G48" i="2" s="1"/>
  <c r="F47" i="2"/>
  <c r="G47" i="2" s="1"/>
  <c r="G44" i="2"/>
  <c r="G39" i="2"/>
  <c r="F38" i="2"/>
  <c r="G37" i="2"/>
  <c r="G36" i="2"/>
  <c r="F30" i="2"/>
  <c r="F27" i="2"/>
  <c r="F29" i="2" s="1"/>
  <c r="G22" i="2"/>
  <c r="G21" i="2"/>
  <c r="F21" i="2"/>
  <c r="G19" i="2"/>
  <c r="F19" i="2"/>
  <c r="F18" i="2"/>
  <c r="F20" i="2" s="1"/>
  <c r="F13" i="2"/>
  <c r="F10" i="2"/>
  <c r="F12" i="2" s="1"/>
  <c r="F8" i="2" s="1"/>
  <c r="M8" i="2"/>
  <c r="L8" i="2"/>
  <c r="F138" i="2" l="1"/>
  <c r="G52" i="2"/>
  <c r="G46" i="2" s="1"/>
  <c r="F68" i="2"/>
  <c r="F83" i="2"/>
  <c r="F24" i="2" s="1"/>
  <c r="F25" i="2" s="1"/>
  <c r="F73" i="2"/>
  <c r="H73" i="2" s="1"/>
  <c r="F58" i="2"/>
  <c r="G65" i="2"/>
  <c r="G58" i="2" s="1"/>
  <c r="F137" i="2"/>
  <c r="G43" i="2"/>
  <c r="G29" i="2"/>
  <c r="G26" i="2" s="1"/>
  <c r="F26" i="2"/>
  <c r="F7" i="2" s="1"/>
  <c r="F136" i="2"/>
  <c r="F53" i="2"/>
  <c r="F108" i="2"/>
  <c r="F100" i="2" s="1"/>
  <c r="G83" i="2"/>
  <c r="G68" i="2"/>
  <c r="H68" i="2"/>
  <c r="G64" i="2"/>
  <c r="G27" i="2"/>
  <c r="G10" i="2"/>
  <c r="G14" i="2" s="1"/>
  <c r="F52" i="2"/>
  <c r="G77" i="2"/>
  <c r="G91" i="2"/>
  <c r="G93" i="2" s="1"/>
  <c r="G54" i="2"/>
  <c r="G57" i="2" s="1"/>
  <c r="G53" i="2" s="1"/>
  <c r="G38" i="2"/>
  <c r="F67" i="2" l="1"/>
  <c r="F84" i="2"/>
  <c r="H67" i="2"/>
  <c r="H66" i="2" s="1"/>
  <c r="F41" i="2"/>
  <c r="F42" i="2" s="1"/>
  <c r="G73" i="2"/>
  <c r="G18" i="2"/>
  <c r="G20" i="2" s="1"/>
  <c r="G76" i="2"/>
  <c r="G12" i="2"/>
  <c r="G8" i="2" s="1"/>
  <c r="G13" i="2"/>
  <c r="F46" i="2"/>
  <c r="F43" i="2" s="1"/>
  <c r="F135" i="2"/>
  <c r="F134" i="2" s="1"/>
  <c r="F140" i="2" s="1"/>
  <c r="F139" i="2" s="1"/>
  <c r="G84" i="2"/>
  <c r="G24" i="2"/>
  <c r="G67" i="2" l="1"/>
  <c r="G66" i="2" s="1"/>
  <c r="F66" i="2"/>
  <c r="F6" i="2" s="1"/>
  <c r="L7" i="2" s="1"/>
  <c r="L9" i="2" s="1"/>
  <c r="G25" i="2"/>
  <c r="G41" i="2"/>
  <c r="G42" i="2" s="1"/>
  <c r="G7" i="2"/>
  <c r="G6" i="2" l="1"/>
  <c r="M7" i="2" s="1"/>
  <c r="M9" i="2" s="1"/>
  <c r="K16" i="1"/>
  <c r="F18" i="1"/>
  <c r="E18" i="1"/>
  <c r="D18" i="1"/>
  <c r="C18" i="1"/>
  <c r="J26" i="1"/>
  <c r="G6" i="1"/>
  <c r="H6" i="1"/>
  <c r="E8" i="1" l="1"/>
  <c r="F8" i="1" s="1"/>
  <c r="K8" i="1"/>
  <c r="F7" i="1"/>
  <c r="F6" i="1" s="1"/>
  <c r="E7" i="1"/>
  <c r="E6" i="1" s="1"/>
  <c r="D7" i="1"/>
  <c r="D6" i="1" s="1"/>
  <c r="C7" i="1"/>
  <c r="C6" i="1" s="1"/>
  <c r="M18" i="1" l="1"/>
  <c r="H27" i="1"/>
  <c r="H26" i="1"/>
  <c r="D24" i="1"/>
  <c r="E24" i="1"/>
  <c r="F24" i="1"/>
  <c r="G24" i="1"/>
  <c r="C24" i="1"/>
  <c r="E15" i="1"/>
  <c r="F15" i="1"/>
  <c r="F13" i="1" s="1"/>
  <c r="G15" i="1"/>
  <c r="G13" i="1" s="1"/>
  <c r="C15" i="1"/>
  <c r="C13" i="1" s="1"/>
  <c r="D17" i="1"/>
  <c r="D15" i="1" s="1"/>
  <c r="D13" i="1" s="1"/>
  <c r="H15" i="1" l="1"/>
  <c r="E13" i="1"/>
  <c r="F31" i="1"/>
  <c r="G31" i="1"/>
  <c r="H19" i="1"/>
  <c r="H13" i="1" s="1"/>
  <c r="C14" i="1"/>
  <c r="D9" i="1"/>
  <c r="D31" i="1" s="1"/>
  <c r="E9" i="1"/>
  <c r="E31" i="1" s="1"/>
  <c r="F9" i="1"/>
  <c r="G9" i="1"/>
  <c r="C9" i="1"/>
  <c r="C31" i="1" s="1"/>
  <c r="H12" i="1"/>
  <c r="F11" i="1"/>
  <c r="F10" i="1" s="1"/>
  <c r="E11" i="1"/>
  <c r="E10" i="1" s="1"/>
  <c r="D11" i="1"/>
  <c r="D10" i="1" s="1"/>
  <c r="C11" i="1"/>
  <c r="G25" i="1"/>
  <c r="F25" i="1"/>
  <c r="E25" i="1"/>
  <c r="D25" i="1"/>
  <c r="G14" i="1"/>
  <c r="F14" i="1"/>
  <c r="E14" i="1"/>
  <c r="D14" i="1"/>
  <c r="G10" i="1"/>
  <c r="G5" i="1" l="1"/>
  <c r="H9" i="1"/>
  <c r="H11" i="1"/>
  <c r="H24" i="1"/>
  <c r="H31" i="1" s="1"/>
  <c r="D5" i="1"/>
  <c r="F5" i="1"/>
  <c r="E5" i="1"/>
  <c r="C25" i="1"/>
  <c r="C10" i="1"/>
  <c r="C5" i="1" l="1"/>
</calcChain>
</file>

<file path=xl/sharedStrings.xml><?xml version="1.0" encoding="utf-8"?>
<sst xmlns="http://schemas.openxmlformats.org/spreadsheetml/2006/main" count="408" uniqueCount="253">
  <si>
    <t>STT</t>
  </si>
  <si>
    <t>Nội dung</t>
  </si>
  <si>
    <t>Ghi chú</t>
  </si>
  <si>
    <t> 1</t>
  </si>
  <si>
    <t>Hỗ trợ vốn vay ưu đãi, lãi vay</t>
  </si>
  <si>
    <t>2,1</t>
  </si>
  <si>
    <t>Ngân sách Thành phố hỗ trợ 30% tiền lãi vay với toàn bộ giá trị hợp đồng vay đối với các cá nhân mua trả góp xe mô tô, xe gắn máy sử dụng năng lượng sạch, năng lượng xanh, thân thiện môi trường (gói trả góp không quá 12 tháng) tại đơn vị bán hàng có phối hợp với công ty tài chính, ngân hàng thương mại.</t>
  </si>
  <si>
    <t>Chính sách này hỗ trợ cho người dân chưa đủ kinh phí thực hiện chuyển đổi có thể mua trả góp xe máy. Mức hỗ trợ 30% của lãi suất vay trả góp (hiện khoảng 7%) sẽ tương ứng với hỗ trợ hơn 40% tiền lãi vay để đảm bảo người dân vừa được hỗ trợ, vừa có trách nhiệm cân nhắc lựa chọn mức giá mua xe phù hợp (không quá cao).</t>
  </si>
  <si>
    <t>Ngân sách Thành phố hỗ trợ 30% tiền lãi vay ngân hàng thương mại đối với các khoản vay để đầu tư, mua sắm phương tiện giao thông đường bộ sử dụng năng lượng sạch, trong thời gian vay vốn, tối đa không quá 05 năm, đối với phương tiện thuộc sở hữu của các tổ chức, doanh nghiệp thực hiện dịch vụ công ích và kinh doanh vận tải hành khách, vận tải hàng hóa đường bộ có trụ sở hoặc chi nhánh hoạt động trên địa bàn Thành phố Hà Nội, có dự án, phương án hoạt động phục vụ trên địa bàn Thành phố Hà Nội. Chính sách này không áp dụng đối với các đối tượng đã được hưởng hỗ trợ theo Nghị quyết số 37/2025/NQ-HĐND ngày 29 tháng 9 năm 2025 của Hội đồng nhân dân Thành phố Hà Nội hoặc các chính sách khác có cùng nội dung, cùng mục tiêu từ ngân sách nhà nước. Vốn vay phải được sử dụng đúng mục đích cho các phương tiện phục vụ hoạt động trên địa bàn Thành phố Hà Nội; tổ chức, doanh nghiệp vay vốn có trách nhiệm cam kết, chứng minh phạm vi hoạt động và mục đích sử dụng vốn, chịu sự kiểm tra, giám sát của cơ quan có thẩm quyền. Trường hợp sử dụng vốn không đúng mục đích hoặc không đúng phạm vi đã cam kết thì phải thu hồi khoản hỗ trợ và xử lý theo quy định của pháp luật. Danh mục phương tiện được hỗ trợ bao gồm: xe cứu thương, xe bưu chính, xe ô tô tải chuyên dùng (quét đường, rửa đường, vận chuyển rác, bảo trì hạ tầng đô thị); xe ô tô kinh doanh vận tải chở trẻ em mầm non, học sinh (trừ xe ô tô kinh doanh vận tải kết hợp với hoạt động đưa đón trẻ em mầm non, học sinh); xe taxi; xe ô tô kinh doanh vận tải hành khách theo hợp đồng có sức chứa đến 08 chỗ (không kể chỗ của người lái xe) sử dụng hợp đồng điện tử; phương tiện cho thuê phục vụ mục đích giao thông công cộng đô thị.</t>
  </si>
  <si>
    <t>Trong đó hỗ trợ cho các nhóm công ích: 284 tỷ; đơn vị KDVT 418 tỷ, nhóm KD phương tiện cho thuê 62 tỷ.</t>
  </si>
  <si>
    <t>Chính sách về phí, lệ phí, giá dịch vụ</t>
  </si>
  <si>
    <t>Thành phố miễn tiền vé sử dụng phương tiện vận tải hành khách công cộng khối lượng lớn:</t>
  </si>
  <si>
    <t>a) Đối với người có công, người khuyết tật, người cao tuổi, trẻ em dưới 06 tuổi, nhân khẩu thuộc hộ nghèo, học sinh, sinh viên, công nhân các khu công nghiệp trên địa bàn Thành phố.</t>
  </si>
  <si>
    <t>b) Đối với tất cả hành khách trong các dịp lễ, Tết và các dịp đặc biệt của đất nước, của thành phố Hà Nội.</t>
  </si>
  <si>
    <t xml:space="preserve"> Ngân sách Thành phố hỗ trợ lệ phí cấp giấy chứng nhận đăng ký, biển số đối với phương tiện giao thông xanh, cụ thể:</t>
  </si>
  <si>
    <t>Đối với các doanh nghiệp cung cấp dịch vụ cho thuê phương tiện giao thông xanh để tự lái phục vụ mục đích giao thông công cộng sử dụng tạm thời lòng đường, hè phố làm điểm đỗ, tập kết xe được miễn phí sử dụng lòng đường, hè phố trong thời gian tối đa 05 năm.</t>
  </si>
  <si>
    <t>Chính sách hỗ trợ đầu tư phát triển hệ thống trạm tiếp năng lượng sạch công cộng</t>
  </si>
  <si>
    <t>Ngân sách Thành phố hỗ trợ 30% tiền lãi vay ngân hàng hoặc được vay vốn từ Quỹ đầu tư phát triển Thành phố với toàn bộ giá trị hợp đồng vay được thực hiện trong thời gian vay vốn (tối đa không quá 05 năm) đối với các doanh nghiệp đầu tư xây dựng hạ tầng trạm tiếp năng lượng sạch công cộng.</t>
  </si>
  <si>
    <t>Ngân sách Thành phố hỗ trợ chi phí khảo sát, thiết kế đường dây đấu nối lưới điện phục vụ dự án đầu tư phát triển hệ thống trạm tiếp năng lượng sạch công cộng.</t>
  </si>
  <si>
    <t>Việc khảo sát, thiết kế đường dây đấu nối lưới điện do đơn vị có đủ điều kiện năng lực theo quy định của pháp luật về xây dựng và điện lực thực hiện theo hợp đồng với chủ đầu tư dự án hoặc theo phương án do cơ quan có thẩm quyền phê duyệt.</t>
  </si>
  <si>
    <t>Kinh phí hỗ trợ được bố trí từ ngân sách Thành phố theo phân cấp ngân sách hiện hành và được thực hiện thông qua chủ đầu tư dự án hoặc đơn vị được giao nhiệm vụ theo quy định của pháp luật.</t>
  </si>
  <si>
    <t>Tổng cộng</t>
  </si>
  <si>
    <t xml:space="preserve"> Nhóm chính sách 2: Hỗ trợ vốn vay ưu đãi, lãi vay</t>
  </si>
  <si>
    <t>Nhóm chính sách 3: Chính sách về phí, lệ phí, giá dịch vụ</t>
  </si>
  <si>
    <t>Ngân sách Thành phố hỗ trợ 100% tiền thuê đất trong 05 năm đầu đối với dự án đầu tư trạm tiếp năng lượng sạch công cộng.</t>
  </si>
  <si>
    <t>Số dự kiến hỗ trợ chuyển đổi (tỷ đồng)</t>
  </si>
  <si>
    <t>3.1</t>
  </si>
  <si>
    <t>3.2</t>
  </si>
  <si>
    <t>4.1</t>
  </si>
  <si>
    <t>4.3</t>
  </si>
  <si>
    <t>4.2</t>
  </si>
  <si>
    <t>3.3</t>
  </si>
  <si>
    <t>Tạm tính</t>
  </si>
  <si>
    <r>
      <t xml:space="preserve">Nhóm chính sách 4: Chính sách hỗ trợ đầu tư phát triển hệ thống trạm tiếp năng lượng sạch công cộng, </t>
    </r>
    <r>
      <rPr>
        <sz val="12"/>
        <rFont val="Times New Roman"/>
        <family val="1"/>
      </rPr>
      <t>giao thông phi cơ giới</t>
    </r>
  </si>
  <si>
    <t>BẢNG TÍNH TÁC ĐỘNG NGUỒN LỰC NGÂN SÁCH DỰ KIẾN KHI THỰC HIỆN CÁC CHÍNH SÁCH HỖ TRỢ</t>
  </si>
  <si>
    <t>Điều chỉnh số lượng phương tiện và tổng giá trị. Đã thực hiện chuyển đổi phân bổ hàng năm theo bảng tính toán của phòng</t>
  </si>
  <si>
    <t>Không thay đổi giữ nguyên</t>
  </si>
  <si>
    <t>Kinh phí hỗ trợ trong 9 ngày Tết Nguyên đán năm 2026 là khoảng 17,2 tỷ tương đương khoảng 21 tỷ/năm</t>
  </si>
  <si>
    <t>Dự kiến điểm cấp cho doanh nghiệp sử dụng tạm thời lòng đường vỉa hè để sử dụng làm điểm đỗ xe là 700 điểm toàn thành phố. Mức phí tính theo NQ06/2020/NQ-HĐND, diện tích cấp trung bình 20-30m2 cụ thể:
- Các tuyến chính trong phường Hoàn kiếm: 25m x200 điểm x 135 nghìn/m2 x 5 năm=40,5 tỷ
- Các tuyến phố còn lại 30m x 400mx 90 nghìn /m= 64,8 tỷ
- Vành đai 2: 30m2 x 200 điểm x 60 nghìn/m2= 16,2 tỷ
- Vành đai 3: 30m x 100 điểm x 45 nghìn/m2= 8,1 tỷ</t>
  </si>
  <si>
    <t>Không nằm trong bảng tính toán của tư vấn nên giữ nguyên theo dự thảo của phòng</t>
  </si>
  <si>
    <t>Điều chỉnh lại mục mô tô gắn máy gắn với số lượng xe chuyển đổi mới tăng lên thành 2525 tỷ. Đã căn chỉnh lại theo tỉ lệ của phòng</t>
  </si>
  <si>
    <t>Hỗ trợ bằng vé sử dụng dịch vụ vận tải hành khách công cộng</t>
  </si>
  <si>
    <t>Hỗ trợ bỏ phương tiện cá nhân, sử dụng vé tháng miễn phí với giá trị khoảng 5tr tương đương với mức hỗ trợ chuyển đổi xe</t>
  </si>
  <si>
    <t>Bỏ không</t>
  </si>
  <si>
    <t xml:space="preserve">- Phương tiện giao thông xanh được hỗ trợ 50% lệ phí trước 1/1/2030: 848 tỷ
- Xe moto, gắn máy được hỗ trợ 50% lệ phí, hộ nghèo và cận nghèo 100%  đến trước ngày 1/1/2030 : 2.099 tỷ </t>
  </si>
  <si>
    <t xml:space="preserve"> 'Nhóm chính sách 1: Hỗ trợ chính sách cho cá nhân khi chuyển đổi </t>
  </si>
  <si>
    <t>Hỗ trợ bằng tiền cho cá nhân</t>
  </si>
  <si>
    <t>- Tối đa 20% nhưng  không quá 5 triệu cho người dân thông thường và 100% không quá 20 triệu cho hộ nghèo; 80% không quá15tr hộ cận nghèo hoặc nhận hỗ trợ tương đương bằng vé điện tử vận tải hành khách công cộng dài hạn.
Dự kiến chuyển đổi cho 3,36 triệu xe (chiếm 96% số lượng phương tiện trên địa bàn Hà Nội) khoảng.  Chính sách đưa ra để hỗ trợ người người dân tuy nhiên mục tiêu hướng tới giảm phương tiện cá nhân khyến khích sử dung VTHKCC  nên mức đề xuất tối đa 5 triệu/xe đảm bảo việc người dân được hỗ trợ  cơ bản để mua được phương tiên có giá trị hợp lý.</t>
  </si>
  <si>
    <t>BIỂU 1. TÍNH TOÁN CHI TIẾT KINH PHÍ THỰC HIỆN NGHỊ QUYẾT</t>
  </si>
  <si>
    <t>tính trước 1/1/2030</t>
  </si>
  <si>
    <t>TT</t>
  </si>
  <si>
    <t>Loại hỗ trợ</t>
  </si>
  <si>
    <t>Đơn vị tính</t>
  </si>
  <si>
    <t>Phương án</t>
  </si>
  <si>
    <t>Ghi chú 2</t>
  </si>
  <si>
    <t>PA 1</t>
  </si>
  <si>
    <t>PA 3</t>
  </si>
  <si>
    <t>A</t>
  </si>
  <si>
    <t>Kinh phí chi ngân sách hỗ trợ</t>
  </si>
  <si>
    <t>A.1</t>
  </si>
  <si>
    <t>Hỗ trợ cho cá nhân chuyển đổi xe mô tô, gắn máy</t>
  </si>
  <si>
    <t>A.1.1</t>
  </si>
  <si>
    <t>Hỗ trợ trực tiếp bằng tiền cho cá nhân chuyển đổi xe máy điện</t>
  </si>
  <si>
    <t>tỷ đồng</t>
  </si>
  <si>
    <t xml:space="preserve">- hỗ trợ 20% giá trị phương tiện chuyển đổi nhưng không quá 05 triệu đồng. 
- hộ nghèo hỗ trợ 100% giá trị phương tiện chuyển đổi nhưng không quá 20 triệu đồng; 
- hộ cận nghèo hỗ trợ 80% giá trị phương tiện chuyển đổi nhưng không quá 15 triệu đồng. </t>
  </si>
  <si>
    <t>-hộ cận nghèo có 0,31%</t>
  </si>
  <si>
    <t>Xe máy</t>
  </si>
  <si>
    <t>Số lượng xe đủ điều kiện được hỗ trợ (biển số HN)</t>
  </si>
  <si>
    <t>chiếc</t>
  </si>
  <si>
    <t>Toàn thành phố</t>
  </si>
  <si>
    <t>Tỷ lệ sử dụng hỗ trợ</t>
  </si>
  <si>
    <t>%</t>
  </si>
  <si>
    <t>Số lượng xe máy sử dụng hỗ trợ</t>
  </si>
  <si>
    <t>A.1.2</t>
  </si>
  <si>
    <t>Số lượng không chuyển đổi xe lựa chọn pt công cộng</t>
  </si>
  <si>
    <t xml:space="preserve">Mức hỗ trợ </t>
  </si>
  <si>
    <t>đồng</t>
  </si>
  <si>
    <t>- Nếu không nhận hỗ trợ trực tiếp bằng tiền thì có thể lựa chọn phương án nhận hỗ trợ bằng vé sử dụng dịch vụ vận tải hành khách công cộng có trị giá 05 triệu đồng.</t>
  </si>
  <si>
    <t>(Bổ sung)</t>
  </si>
  <si>
    <t xml:space="preserve">Miễn phí tiền vé sử dụng phương tiện vận tải hành khách công cộng </t>
  </si>
  <si>
    <t xml:space="preserve">- Đối với người có công, người khuyết tật, người cao tuổi, trẻ em dưới 06 tuổi, nhân khẩu thuộc hộ nghèo, học sinh, sinh viên, công nhân các khu công nghiệp trên địa bàn Thành phố. 
' - Đối với tất cả hành khách trong các dịp lễ, Tết và các dịp đặc biệt của đất nước, của thành phố Hà Nội. 
</t>
  </si>
  <si>
    <t>A.1.3</t>
  </si>
  <si>
    <t>Hỗ trợ lệ phí trước bạ khi mua xe máy điện (hoặc sử dụng năng lượng sạch khác)</t>
  </si>
  <si>
    <t>Chỉ tính để so sánh mức chi ngân sách</t>
  </si>
  <si>
    <t>Số lượng xe đủ điều kiện được hỗ trợ</t>
  </si>
  <si>
    <t>Số lượng xe sử dụng chính sách hỗ trợ</t>
  </si>
  <si>
    <t>xe</t>
  </si>
  <si>
    <t>Mức thu hiện hành</t>
  </si>
  <si>
    <t>từ ngày 1/7/2025 giảm từ 5% xuống 2%</t>
  </si>
  <si>
    <t>Giá mua xe tính toán</t>
  </si>
  <si>
    <t>Kinh phí hỗ trợ (toàn bộ XM)</t>
  </si>
  <si>
    <t>PA 1 - Giả định 80% xe chuyển đổi trước ngày 01/01/2029; PA 2 - Giả định 90% xe chuyển đổi trước ngày 01/01/2029.</t>
  </si>
  <si>
    <t>Trong đó: xe TMDV</t>
  </si>
  <si>
    <t>Trong đó: Kinh phí hỗ trợ XM TMDV</t>
  </si>
  <si>
    <t>A.1.4</t>
  </si>
  <si>
    <t>Hỗ trợ tiền lãi vay mua xe máy trả góp</t>
  </si>
  <si>
    <t>Chính sách này hỗ trợ cho người dân chưa đủ kinh phí thực hiện chuyển đổi có thể mua trả góp xe máy. Mức hỗ trợ 30% của lãi suất vay trả góp (hiện khoảng 7%) để đảm bảo người dân vừa được hỗ trợ, vừa có trách nhiệm cân nhắc lựa chọn mức giá mua xe phù hợp (không quá cao).</t>
  </si>
  <si>
    <t>Giả định 30% chủ xe sẽ mua trả góp nếu có chính sách hỗ trợ</t>
  </si>
  <si>
    <t>Giá mua xe</t>
  </si>
  <si>
    <t>Lãi suất cho vay trả góp của Cty tài chính</t>
  </si>
  <si>
    <t>Lãi suất cho vay trả góp thông thường thấp nhất từ 7%/năm đến 15%/năm tùy từng công ty tài chính và giá trị khoản vay. Ngoài ra có những chương trình hợp tác hỗ trợ ở mức dưới 5%/năm</t>
  </si>
  <si>
    <t>Mức hỗ trợ lãi suất</t>
  </si>
  <si>
    <t xml:space="preserve">Hỗ trợ một phần lãi suất cho vay </t>
  </si>
  <si>
    <t>A.1.5</t>
  </si>
  <si>
    <t>Hỗ trợ 20% thuế giá trị gia tăng đối với xe mô tô, xe gắn máy khi thực hiện chuyển đổi đến trước ngày 01/01/2031; riêng đối với hộ nghèo và hộ cận nghèo, mức hỗ trợ là 50%.</t>
  </si>
  <si>
    <t>Mức hỗ trợ với hộ nghèo, cận nghèo</t>
  </si>
  <si>
    <t>Mức hỗ trợ với các đối tượng khác</t>
  </si>
  <si>
    <t>Mức thu hiện hành (trung bình)</t>
  </si>
  <si>
    <t>Kinh phí hỗ trợ</t>
  </si>
  <si>
    <t>Trong đó: số lượng xe chạy dịch vụ (TMDV)</t>
  </si>
  <si>
    <t>Trong đó: kinh phí hỗ trợ xe  TMDV</t>
  </si>
  <si>
    <t>A.2</t>
  </si>
  <si>
    <t>Hỗ trợ lãi vay dự án chuyển đổi ô tô cho đơn vị công ích, kinh doanh vận tải phục vụ công cộng</t>
  </si>
  <si>
    <t>Định hướng chính sách là hỗ trợ cao hơn đối với các phương tiện phục vụ công ích, cộng cộng</t>
  </si>
  <si>
    <t>Lãi suất cho vay thương mại</t>
  </si>
  <si>
    <t>Lãi suất cho vay thương mại để mua phương tiện vận tải từ 6.5%/năm (thời hạn đến 60 tháng) đến khoảng 10%/năm</t>
  </si>
  <si>
    <t>Mức hỗ trợ lãi suất vay</t>
  </si>
  <si>
    <t>Mức hỗ trợ 30% lãi suất vay thương mại sẽ kéo giảm tiền lãi vay xuống tương ứng phải trả nếu vay Quỹ với lãi suất ưu đãi 4,98%.</t>
  </si>
  <si>
    <t xml:space="preserve">Ngân sách Thành phố hỗ trợ 30% tiền lãi vay ngân hàng thương mại với toàn bộ giá trị hợp đồng vay được thực hiện trong thời gian vay vốn (thời gian hỗ trợ tối đa không quá 05 năm) đối với phương tiện thuộc sở hữu của các đơn vị quy định tại điểm a khoản này. </t>
  </si>
  <si>
    <t>A.2.1</t>
  </si>
  <si>
    <t>Nhóm các đơn vị công ích</t>
  </si>
  <si>
    <r>
      <t xml:space="preserve">Số lượng xe cứu thương, xe bưu chính, xe ô tô tải chuyên dùng (quét đường, rửa đường, vận chuyển rác, bảo trì hạ tầng đô thị) </t>
    </r>
    <r>
      <rPr>
        <sz val="12"/>
        <color rgb="FFFF0000"/>
        <rFont val="Times New Roman"/>
        <family val="1"/>
      </rPr>
      <t>[nhóm 1]</t>
    </r>
  </si>
  <si>
    <r>
      <t xml:space="preserve">Số lượng xe ô tô kinh doanh vận tải chở trẻ em mầm non, học sinh (trừ xe ô tô kinh doanh vận tải kết hợp với hoạt động đưa đón trẻ em mầm non, học sinh) </t>
    </r>
    <r>
      <rPr>
        <sz val="12"/>
        <color rgb="FFFF0000"/>
        <rFont val="Times New Roman"/>
        <family val="1"/>
      </rPr>
      <t>[nhóm 2]</t>
    </r>
  </si>
  <si>
    <t>Giá mua xe [nhóm 1]</t>
  </si>
  <si>
    <t>Giá mua xe [nhóm 2]</t>
  </si>
  <si>
    <t>Tổng mức đầu tư (vay vốn tối đa)</t>
  </si>
  <si>
    <t>A.2.2</t>
  </si>
  <si>
    <t>Nhóm các đơn vị kinh doanh vận tải hành khách</t>
  </si>
  <si>
    <r>
      <t xml:space="preserve">Số lượng xe taxi; xe ô tô kinh doanh vận tải hành khách theo hợp đồng có sức chứa dưới 09 chỗ (kể cả người lái) sử dụng hợp đồng điện tử </t>
    </r>
    <r>
      <rPr>
        <sz val="12"/>
        <color rgb="FFFF0000"/>
        <rFont val="Times New Roman"/>
        <family val="1"/>
      </rPr>
      <t>[nhóm 3]</t>
    </r>
  </si>
  <si>
    <t>Giá mua xe [nhóm 3]</t>
  </si>
  <si>
    <t>A.2.3</t>
  </si>
  <si>
    <t>Nhóm kinh doanh phương tiện cho thuê phục vụ mục đích giao thông công cộng đô thị</t>
  </si>
  <si>
    <t>Xe đạp</t>
  </si>
  <si>
    <t>Giá mua xe đạp</t>
  </si>
  <si>
    <t>Xe đạp điện</t>
  </si>
  <si>
    <t>Giá mua xe đạp điện</t>
  </si>
  <si>
    <t>Xe máy điện</t>
  </si>
  <si>
    <t>Giá mua xe xe máy điện</t>
  </si>
  <si>
    <t>A.3</t>
  </si>
  <si>
    <t>Hỗ trợ cho đơn vị chuyển đổi phương tiện phục vụ công ích, công cộng</t>
  </si>
  <si>
    <t>Chỉ hỗ trợ chuyển đổi ô tô phục vụ công ích, công cộng, Không hỗ trợ ô tô khác.</t>
  </si>
  <si>
    <t>A.3.2.1</t>
  </si>
  <si>
    <t>Hỗ trợ phí đăng ký biển số khi mua phương tiện sử dụng năng lượng sạch (điện, hdyro) phục vụ công ích, công cộng</t>
  </si>
  <si>
    <t>Chỉ hỗ trợ chuyển đổi ô tô phục vụ công ích, công cộng (xe buýt đã có nghị quyết riêng), Không hỗ trợ ô tô khác không phục vụ công ích, công cộng.</t>
  </si>
  <si>
    <t>(1)</t>
  </si>
  <si>
    <t>Phương tiện phục vụ công ích, kinh doanh vận tải khách công cộng</t>
  </si>
  <si>
    <t>Ngân sách Thàh phố hỗ trợ 50% lệ phí cấp giấy chứng nhận đăng ký, biển số đối với phương tiện giao thông xanh quy định tại điểm a khoản 2 Điều 4 và xe buýt sử dụng năng lượng sạch, năng lượng xanh, thân thiện môi trường khi đăng ký lần đầu</t>
  </si>
  <si>
    <t>xe cứu thương, xe bưu chính, xe ô tô tải chuyên dùng (quét đường, rửa đường, vận chuyển rác, bảo trì hạ tầng đô thị);</t>
  </si>
  <si>
    <t>xe ô tô kinh doanh vận tải chở trẻ em mầm non, học sinh (trừ xe ô tô kinh doanh vận tải kết hợp với hoạt động đưa đón trẻ em mầm non, học sinh);</t>
  </si>
  <si>
    <t>xe taxi; xe ô tô kinh doanh vận tải hành khách theo hợp đồng có sức chứa dưới 09 chỗ (kể cả người lái) sử dụng hợp đồng điện tử;</t>
  </si>
  <si>
    <t>(2)</t>
  </si>
  <si>
    <t>Kinh doanh phương tiện cho thuê phục vụ mục đích giao thông công cộng đô thị.</t>
  </si>
  <si>
    <t>Dịch vụ kinh doanh cho thuê phương tiện 2 bánh công cộng sẽ giúp các cá nhân giảm áp lực phải sở hữu phương tiện, tăng hiệu suất sử dụng phương tiện, giảm chi phí gửi xe, giảm nguy cơ cháy nổ.</t>
  </si>
  <si>
    <t>- Ngân sách Thành phố hỗ trợ 100% lệ phí cấp giấy chứng nhận đăng ký, biển số đối với phương tiện thuộc sở hữu của doanh nghiệp kinh doanh vận tải hành khách bằng xe taxi, xe buýt khi thực hiện chuyển đổi sang phương tiện giao thông xanh theo quy định
'- Các doanh nghiệp cung cấp dịch vụ cho thuê phương tiện giao thông xanh để tự lái phục vụ mục đích giao thông công cộng sử dụng tạm thời lòng đường, hè phố làm điểm đỗ, tập kết xe được miễn phí sử dụng lòng đường, hè phố trong thời gian tối đa 05 năm.</t>
  </si>
  <si>
    <t>Số lượng xe máy điện</t>
  </si>
  <si>
    <t>A.3.2.2</t>
  </si>
  <si>
    <t>Hỗ trợ lệ phí cấp giấy chứng nhận, đăng ký biển số khi mua xe máy điện</t>
  </si>
  <si>
    <t>Hỗ trợ phí đăng ký biển số dễ thực hiện (có 3 mức cố định chứ không tính theo % như trước bạ). Mức hỗ trợ giảm dần theo thời gian để thúc đẩy chuyển đổi sớm.</t>
  </si>
  <si>
    <t>Trên số xe máy chuyển đổi</t>
  </si>
  <si>
    <t>PA1: ước tính 20% chủ xe máy xăng không chuyển đổi xe máy điện mà chuyển sang các dịch vụ công cộng
PA3: không chủ xe máy xăng nào chuyển sang dịch vụ công cộng</t>
  </si>
  <si>
    <t>hiện có 3 mức thu 0,55, 2, 4 triệu đồng</t>
  </si>
  <si>
    <t>ước số xe máy TMDV đủ điều kiện đăng ký biển Hà Nội chiếm 3% tổng XM lưu hành</t>
  </si>
  <si>
    <t>(3)</t>
  </si>
  <si>
    <t>Phương tiện không phục vụ công ích, công cộng</t>
  </si>
  <si>
    <t>Không đề xuất chính sách cho đối tượng này. Chỉ tính toán để so sánh.</t>
  </si>
  <si>
    <t>Hỗ trợ lệ phí trước bạ khi mua ô tô sử dụng năng lượng sạch (điện, hdyro)</t>
  </si>
  <si>
    <t>Chỉ tính để so sánh mức chi ngân sách:
PA 1 = không hỗ trợ;
PA 2 = hỗ trợ xe kinh doanh vận tải;
PA 3 = hỗ trợ tất cả xe ô tô.</t>
  </si>
  <si>
    <t>Lệ phí trước bạ ô tô điện đang được miễn đến hết 2/2027. Do đó ước tính có 75% số xe đăng ký mới từ 3/2027 trở đi.</t>
  </si>
  <si>
    <t>A.3.4</t>
  </si>
  <si>
    <t>Nhóm các đơn vị kinh doanh vận tải hàng hóa</t>
  </si>
  <si>
    <t>Chưa có chính sách hỗ trợ cụ thể</t>
  </si>
  <si>
    <t>Số lượng xe tải (tải trọng từ 2 tấn trở xuống)</t>
  </si>
  <si>
    <t>Giá mua xe tải chạy điện (ước tính)</t>
  </si>
  <si>
    <t>A.4</t>
  </si>
  <si>
    <t>Hỗ trợ một phần lãi vay cho nhóm thực hiện dự án hỗ trợ chuyển đổi xanh, chuyển đổi sang công cộng</t>
  </si>
  <si>
    <t>A.4.1</t>
  </si>
  <si>
    <t>Các doanh nghiệp có trụ sở và là chủ đầu tư thực hiện dự án: thu hồi, tái chế xe cơ giới; dự án thu hồi xử lý pin sạc trên địa bàn thành phố Hà Nội.</t>
  </si>
  <si>
    <t>Chính sách này nhằm thu hút và hỗ trợ các đơn vị tham gia chuyển đổi xanh: thu mua, tái chế xe cũ; thu hồi và xử lý pin sạc. Mức hỗ trợ sẽ tương ứng 30% tiền lãi vay.</t>
  </si>
  <si>
    <t>Hỗ trợ lãi vay dự án: thu hồi, tái chế xe cơ giới</t>
  </si>
  <si>
    <t>Tổng mức đầu tư dự án</t>
  </si>
  <si>
    <t>Giả định 5 dự án, mỗi dự án vay 50 tỷ đồng</t>
  </si>
  <si>
    <t>Hỗ trợ lãi vay dự án thu hồi xử lý pin sạc</t>
  </si>
  <si>
    <t>A.4.2</t>
  </si>
  <si>
    <t>Hỗ trợ tài chính thực hiện dự án đầu tư hệ thống trạm tiếp năng lượng sạch công cộng</t>
  </si>
  <si>
    <t>Điều 10</t>
  </si>
  <si>
    <t>1. Doanh nghiệp thực hiện đầu tư xây dựng hạ tầng trạm tiếp năng lượng sạch công cộng được vay vốn từ Quỹ Đầu tư phát triển thành phố Hà Nội (với lãi suất quy định theo từng thời kỳ) hoặc được ngân sách Thành phố hỗ trợ 30% lãi suất vay của các tổ chức tín dụng khác với hạn mức hỗ trợ là 100% giá trị hợp đồng vay trong thời gian 05 năm đầu theo từng dự án.</t>
  </si>
  <si>
    <t>Chính sách này theo định hướng hỗ trợ về phát triển hạ tầng phục vụ giao thông xanh</t>
  </si>
  <si>
    <t>Tổng mức đầu tư dự án trạm tiếp năng lượng sạch</t>
  </si>
  <si>
    <t>giả định 30 dự án * 50 tỷ đồng</t>
  </si>
  <si>
    <t>Thời gian vay vốn</t>
  </si>
  <si>
    <t>năm</t>
  </si>
  <si>
    <t>Tỷ lệ vốn vay từ ngân hàng</t>
  </si>
  <si>
    <t>Giả định 100% vay vốn ngân hàng để tính mức tối đa kinh phí hỗ trợ</t>
  </si>
  <si>
    <t>Lãi suất cho vay từ Quỹ</t>
  </si>
  <si>
    <t>Lãi suất cho vay từ ngân hàng</t>
  </si>
  <si>
    <t>2. Ngân sách Thành phố hỗ trợ 100% tiền thuê đất trong 05 năm đầu đối với dự án đầu tư bến xe khách, bến xe hàng, bãi đỗ xe, điểm trung chuyển, trung tâm tiếp vận có lắp đặt trạm tiếp năng lượng sạch công cộng đạt tỷ lệ tối thiểu 30% chỗ đỗ xe; điểm kinh doanh dịch vụ cho thuê xe đạp, xe mô tô, xe gắn máy công cộng sử dụng năng lượng sạch.</t>
  </si>
  <si>
    <t>Số lượng dự án đủ điều kiện hỗ trợ</t>
  </si>
  <si>
    <t>dự án</t>
  </si>
  <si>
    <t>Chi phí GPMB trung bình 1 dự án</t>
  </si>
  <si>
    <t>Diện tính đất hỗ trợ</t>
  </si>
  <si>
    <t>m2</t>
  </si>
  <si>
    <t>Giá thuê đất trung bình của 1 m2/tháng</t>
  </si>
  <si>
    <t>Số năm hỗ trợ</t>
  </si>
  <si>
    <t>Mức hỗ trợ chi phí GPMB</t>
  </si>
  <si>
    <t>Mức hỗ trợ chi phí thuê đất</t>
  </si>
  <si>
    <t>Lọc</t>
  </si>
  <si>
    <t>Print</t>
  </si>
  <si>
    <t>Mục c, Khoản 1, Điều 4: Chính sách hỗ trợ tài chính</t>
  </si>
  <si>
    <t>Nhóm 1</t>
  </si>
  <si>
    <t>Mục d, Khoản 1, Điều 4: Chính sách hỗ trợ tài chính</t>
  </si>
  <si>
    <t>Mục a, b, Khoản 1, Điều 5. Chính sách về phí, lệ phí, giá dịch vụ</t>
  </si>
  <si>
    <t>Chính sách ko còn đề xuất trong NQ</t>
  </si>
  <si>
    <t>Điều 4. Chính sách hỗ trợ tài chính
Khoản 2. Đối với tổ chức</t>
  </si>
  <si>
    <t>Nhóm 2</t>
  </si>
  <si>
    <t>Chuyển thành nhóm 2</t>
  </si>
  <si>
    <t>Điều 5. Chính sách về phí, lệ phí, giá dịch vụ
Khoản 2</t>
  </si>
  <si>
    <t>Nhóm 3.2 ý 1</t>
  </si>
  <si>
    <t>Mục c, Khoản 1, Điều 5. Chính sách về phí, lệ phí, giá dịch vụ</t>
  </si>
  <si>
    <t>Nhóm 3.2 ý 2</t>
  </si>
  <si>
    <t>Bỏ</t>
  </si>
  <si>
    <t>Chương IV
MỘT SỐ CHÍNH SÁCH HỖ TRỢ ĐẦU TƯ PHÁT TRIỂN HẠ TẦNG GIAO THÔNG ĐƯỜNG BỘ SỬ DỤNG NĂNG LƯỢNG SẠCH, GIAO THÔNG PHI CƠ GIỚI</t>
  </si>
  <si>
    <t>Nhóm 4.1</t>
  </si>
  <si>
    <t>Nhóm 4.2</t>
  </si>
  <si>
    <t>Ko tính toán nữa</t>
  </si>
  <si>
    <t>Kinh phí hỗ trợ 50% chi phí giải phóng mặt bằng</t>
  </si>
  <si>
    <t>Kinh phí hỗ trợ trợ 100% tiền thuê đất trong 05 năm đầu</t>
  </si>
  <si>
    <t>Ủy ban nhân dân Thành phố hỗ trợ miễn phí khảo sát, thiết kế đường dây khi thực hiện đấu nối lưới điện khu vực dự án</t>
  </si>
  <si>
    <t>(4)</t>
  </si>
  <si>
    <t>Hỗ trợ Ủy ban nhân dân cấp xã tổ chức rà soát các vị trí đủ điều kiện để đầu tư lắp đặt trạm tiếp năng lượng sạch công cộng</t>
  </si>
  <si>
    <t>Số lượng xã, phường</t>
  </si>
  <si>
    <t>Kinh phí hỗ trợ / đơn vị</t>
  </si>
  <si>
    <t>A5</t>
  </si>
  <si>
    <t>Hỗ trợ tài chính khác để phục vụ chuyển đổi xanh và chuyển đổi sang công cộng</t>
  </si>
  <si>
    <t>A.5.1</t>
  </si>
  <si>
    <t>Hỗ trợ 100% giá vé tháng đối với đối với học sinh, sinh viên trên địa bàn Thành phố đến hết năm 2030</t>
  </si>
  <si>
    <t>Chính sách này hỗ trợ tối đa cho học sinh, sinh viên nhằm giảm tối đa nhu cầu phải sử dụng phương tiện cá nhân. Kinh phí ước tính từ TRAMOC</t>
  </si>
  <si>
    <t>A.5.2</t>
  </si>
  <si>
    <t>Đối với các doanh nghiệp cung cấp dịch vụ cho thuê phương tiện để tự lái là phương tiện giao thông xanh để phục vụ mục đích giao thông công cộng sẽ được bố trí các điểm đỗ, tập kết xe, miễn nộp phí sử dụng lòng đường, vỉa hè và miễn tiền thuê đất tối đa 05 năm kể từ ngày dự án hoàn thành đưa vào sử dụng</t>
  </si>
  <si>
    <t>Dịch vụ kinh doanh cho thuê phương tiện 2 bánh công cộng sẽ giúp các cá nhân giảm áp lực phải sở hữu phương tiện, tăng hiệu suất sử dụng phương tiện, giảm chi phí gửi xe, giảm nguy cơ cháy nổ. Ước tính phí sử dụng lòng đường, vỉa hè 3 tỷ đồng/năm</t>
  </si>
  <si>
    <t>A.5.3</t>
  </si>
  <si>
    <t>Miễn phí trong các ngày nghỉ lễ trong năm</t>
  </si>
  <si>
    <t>5 năm</t>
  </si>
  <si>
    <t>B</t>
  </si>
  <si>
    <t>Kinh phí phải bố trí tiếp Quỹ để cho vay ưu đãi</t>
  </si>
  <si>
    <t>Nhóm phương tiện phục vụ công ích</t>
  </si>
  <si>
    <t>Nhóm phương tiện kinh doanh vận tải hành khách công cộng</t>
  </si>
  <si>
    <t>Nhóm dự án đầu tư xây dựng hạ tầng trạm tiếp năng lượng sạch công cộng</t>
  </si>
  <si>
    <t>C</t>
  </si>
  <si>
    <t>Kinh phí thu từ tiền lãi cho vay ưu đãi</t>
  </si>
  <si>
    <t>Tổng vốn cho vay ưu đái</t>
  </si>
  <si>
    <t>Lãi suất cho vay ưu đãi</t>
  </si>
  <si>
    <t>Điều 4</t>
  </si>
  <si>
    <t>sửa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</si>
</sst>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_-* #,##0.0_-;\-* #,##0.0_-;_-* &quot;-&quot;??_-;_-@_-"/>
    <numFmt numFmtId="165" formatCode="0.0"/>
    <numFmt numFmtId="166" formatCode="_(* #,##0.000_);_(* \(#,##0.000\);_(* &quot;-&quot;??_);_(@_)"/>
    <numFmt numFmtId="167" formatCode="_(* #,##0.0_);_(* \(#,##0.0\);_(* &quot;-&quot;?_);_(@_)"/>
    <numFmt numFmtId="168" formatCode="_(* #,##0_);_(* \(#,##0\);_(* &quot;-&quot;??_);_(@_)"/>
    <numFmt numFmtId="169" formatCode="_-* #,##0.0\ _₫_-;\-* #,##0.0\ _₫_-;_-* &quot;-&quot;?\ _₫_-;_-@_-"/>
    <numFmt numFmtId="170" formatCode="#,##0.000"/>
    <numFmt numFmtId="171" formatCode="_-* #,##0_-;\-* #,##0_-;_-* &quot;-&quot;??_-;_-@_-"/>
    <numFmt numFmtId="172" formatCode="0.0%"/>
  </numFmts>
  <fonts count="41">
    <font>
      <sz val="11"/>
      <color theme="1"/>
      <name val="Aptos Narrow"/>
      <family val="2"/>
      <scheme val="minor"/>
    </font>
    <font>
      <sz val="11"/>
      <color theme="1"/>
      <name val="Aptos Narrow"/>
      <family val="2"/>
      <scheme val="minor"/>
    </font>
    <font>
      <sz val="12"/>
      <color theme="1"/>
      <name val="Times New Roman"/>
      <family val="1"/>
    </font>
    <font>
      <b/>
      <sz val="12"/>
      <color theme="1"/>
      <name val="Times New Roman"/>
      <family val="1"/>
    </font>
    <font>
      <b/>
      <sz val="12"/>
      <name val="Times New Roman"/>
      <family val="1"/>
    </font>
    <font>
      <sz val="12"/>
      <name val="Times New Roman"/>
      <family val="1"/>
    </font>
    <font>
      <i/>
      <sz val="12"/>
      <name val="Times New Roman"/>
      <family val="1"/>
    </font>
    <font>
      <sz val="11"/>
      <color rgb="FFFF0000"/>
      <name val="Aptos Narrow"/>
      <family val="2"/>
      <charset val="163"/>
      <scheme val="minor"/>
    </font>
    <font>
      <b/>
      <sz val="11"/>
      <color theme="1"/>
      <name val="Aptos Narrow"/>
      <family val="2"/>
      <charset val="163"/>
      <scheme val="minor"/>
    </font>
    <font>
      <b/>
      <sz val="14"/>
      <color theme="1"/>
      <name val="Times New Roman"/>
      <family val="1"/>
    </font>
    <font>
      <b/>
      <sz val="11"/>
      <color theme="1"/>
      <name val="Aptos Narrow"/>
      <family val="2"/>
      <scheme val="minor"/>
    </font>
    <font>
      <sz val="11"/>
      <color theme="1"/>
      <name val="Times New Roman"/>
      <family val="1"/>
    </font>
    <font>
      <b/>
      <sz val="12"/>
      <color rgb="FFFF0000"/>
      <name val="Times New Roman"/>
      <family val="1"/>
    </font>
    <font>
      <sz val="11"/>
      <color rgb="FFFF0000"/>
      <name val="Times New Roman"/>
      <family val="1"/>
    </font>
    <font>
      <sz val="12"/>
      <color rgb="FFFF0000"/>
      <name val="Times New Roman"/>
      <family val="1"/>
    </font>
    <font>
      <i/>
      <sz val="12"/>
      <color rgb="FFFF0000"/>
      <name val="Times New Roman"/>
      <family val="1"/>
    </font>
    <font>
      <b/>
      <sz val="11"/>
      <color rgb="FFFF0000"/>
      <name val="Times New Roman"/>
      <family val="1"/>
    </font>
    <font>
      <b/>
      <u/>
      <sz val="12"/>
      <color rgb="FFFF0000"/>
      <name val="Times New Roman"/>
      <family val="1"/>
    </font>
    <font>
      <b/>
      <u/>
      <sz val="12"/>
      <color theme="1"/>
      <name val="Times New Roman"/>
      <family val="1"/>
    </font>
    <font>
      <u/>
      <sz val="12"/>
      <color theme="1"/>
      <name val="Times New Roman"/>
      <family val="1"/>
    </font>
    <font>
      <u/>
      <sz val="11"/>
      <color theme="1"/>
      <name val="Times New Roman"/>
      <family val="1"/>
    </font>
    <font>
      <i/>
      <u/>
      <sz val="12"/>
      <color theme="1"/>
      <name val="Times New Roman"/>
      <family val="1"/>
    </font>
    <font>
      <i/>
      <sz val="12"/>
      <color theme="1"/>
      <name val="Times New Roman"/>
      <family val="1"/>
    </font>
    <font>
      <b/>
      <i/>
      <sz val="12"/>
      <color rgb="FFFF0000"/>
      <name val="Times New Roman"/>
      <family val="1"/>
    </font>
    <font>
      <u/>
      <sz val="11"/>
      <color theme="1"/>
      <name val="Aptos Narrow"/>
      <family val="2"/>
      <charset val="163"/>
      <scheme val="minor"/>
    </font>
    <font>
      <u/>
      <sz val="12"/>
      <color rgb="FFFF0000"/>
      <name val="Times New Roman"/>
      <family val="1"/>
    </font>
    <font>
      <u/>
      <sz val="11"/>
      <color rgb="FFFF0000"/>
      <name val="Aptos Narrow"/>
      <family val="2"/>
      <charset val="163"/>
      <scheme val="minor"/>
    </font>
    <font>
      <u/>
      <sz val="11"/>
      <color rgb="FFFF0000"/>
      <name val="Times New Roman"/>
      <family val="1"/>
    </font>
    <font>
      <i/>
      <u/>
      <sz val="12"/>
      <color rgb="FFFF0000"/>
      <name val="Times New Roman"/>
      <family val="1"/>
    </font>
    <font>
      <i/>
      <u/>
      <sz val="13"/>
      <color theme="1"/>
      <name val="Times New Roman"/>
      <family val="1"/>
    </font>
    <font>
      <u/>
      <sz val="13"/>
      <color theme="1"/>
      <name val="Times New Roman"/>
      <family val="1"/>
    </font>
    <font>
      <b/>
      <sz val="13"/>
      <color theme="1"/>
      <name val="Times New Roman"/>
      <family val="1"/>
    </font>
    <font>
      <b/>
      <i/>
      <sz val="12"/>
      <color theme="1"/>
      <name val="Times New Roman"/>
      <family val="1"/>
    </font>
    <font>
      <b/>
      <sz val="11"/>
      <color theme="1"/>
      <name val="Times New Roman"/>
      <family val="1"/>
    </font>
    <font>
      <i/>
      <sz val="11"/>
      <color rgb="FFFF0000"/>
      <name val="Aptos Narrow"/>
      <family val="2"/>
      <charset val="163"/>
      <scheme val="minor"/>
    </font>
    <font>
      <i/>
      <sz val="11"/>
      <color rgb="FFFF0000"/>
      <name val="Times New Roman"/>
      <family val="1"/>
    </font>
    <font>
      <b/>
      <sz val="11"/>
      <color rgb="FFFF0000"/>
      <name val="Aptos Narrow"/>
      <family val="2"/>
      <scheme val="minor"/>
    </font>
    <font>
      <b/>
      <u/>
      <sz val="11"/>
      <color rgb="FFFF0000"/>
      <name val="Aptos Narrow"/>
      <family val="2"/>
      <scheme val="minor"/>
    </font>
    <font>
      <i/>
      <sz val="11"/>
      <color theme="1"/>
      <name val="Aptos Narrow"/>
      <family val="2"/>
      <charset val="163"/>
      <scheme val="minor"/>
    </font>
    <font>
      <sz val="13"/>
      <color theme="1"/>
      <name val="Times New Roman"/>
      <family val="1"/>
    </font>
    <font>
      <i/>
      <sz val="13"/>
      <color theme="1"/>
      <name val="Times New Roman"/>
      <family val="1"/>
    </font>
  </fonts>
  <fills count="9">
    <fill>
      <patternFill patternType="none"/>
    </fill>
    <fill>
      <patternFill patternType="gray125"/>
    </fill>
    <fill>
      <patternFill patternType="solid">
        <fgColor rgb="FFFFFFFF"/>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15">
    <xf numFmtId="0" fontId="0" fillId="0" borderId="0" xfId="0"/>
    <xf numFmtId="0" fontId="2" fillId="0" borderId="0" xfId="0" applyFont="1"/>
    <xf numFmtId="0" fontId="2" fillId="0" borderId="0" xfId="0" applyFont="1" applyAlignment="1">
      <alignment horizontal="right"/>
    </xf>
    <xf numFmtId="0" fontId="4" fillId="0" borderId="1" xfId="0" applyFont="1" applyBorder="1" applyAlignment="1">
      <alignment vertical="center" wrapText="1"/>
    </xf>
    <xf numFmtId="167" fontId="4" fillId="0" borderId="1" xfId="0" applyNumberFormat="1" applyFont="1" applyBorder="1" applyAlignment="1">
      <alignment horizontal="right" vertical="center"/>
    </xf>
    <xf numFmtId="164" fontId="4" fillId="0" borderId="1" xfId="1" applyNumberFormat="1" applyFont="1" applyFill="1" applyBorder="1" applyAlignment="1">
      <alignment vertical="center" wrapText="1"/>
    </xf>
    <xf numFmtId="0" fontId="4" fillId="0" borderId="1" xfId="0" applyFont="1" applyBorder="1" applyAlignment="1">
      <alignment horizontal="right" vertical="center"/>
    </xf>
    <xf numFmtId="164" fontId="5" fillId="0" borderId="1" xfId="1" applyNumberFormat="1" applyFont="1" applyFill="1" applyBorder="1" applyAlignment="1">
      <alignment horizontal="justify" vertical="center" wrapText="1"/>
    </xf>
    <xf numFmtId="167" fontId="5" fillId="0" borderId="1" xfId="0" applyNumberFormat="1" applyFont="1" applyBorder="1" applyAlignment="1">
      <alignment horizontal="right" vertical="center"/>
    </xf>
    <xf numFmtId="0" fontId="5" fillId="0" borderId="1" xfId="0" applyFont="1" applyBorder="1" applyAlignment="1">
      <alignment vertical="center" wrapText="1"/>
    </xf>
    <xf numFmtId="2" fontId="4" fillId="0" borderId="1" xfId="2" applyNumberFormat="1" applyFont="1" applyBorder="1" applyAlignment="1">
      <alignment vertical="center" wrapText="1"/>
    </xf>
    <xf numFmtId="43" fontId="4" fillId="0" borderId="1" xfId="0" applyNumberFormat="1" applyFont="1" applyBorder="1"/>
    <xf numFmtId="0" fontId="5" fillId="0" borderId="1" xfId="0" applyFont="1" applyBorder="1" applyAlignment="1">
      <alignment horizontal="right" vertical="center" wrapText="1"/>
    </xf>
    <xf numFmtId="2" fontId="5" fillId="0" borderId="1" xfId="0" applyNumberFormat="1" applyFont="1" applyBorder="1" applyAlignment="1">
      <alignment vertical="center" wrapText="1"/>
    </xf>
    <xf numFmtId="2" fontId="4" fillId="0" borderId="1" xfId="0" applyNumberFormat="1" applyFont="1" applyBorder="1" applyAlignment="1">
      <alignment horizontal="right" vertical="center"/>
    </xf>
    <xf numFmtId="164" fontId="4" fillId="0" borderId="1" xfId="1" applyNumberFormat="1" applyFont="1" applyFill="1" applyBorder="1"/>
    <xf numFmtId="166" fontId="4" fillId="0" borderId="1" xfId="1" applyNumberFormat="1" applyFont="1" applyBorder="1" applyAlignment="1">
      <alignment horizontal="right" vertical="center"/>
    </xf>
    <xf numFmtId="0" fontId="5" fillId="2" borderId="1" xfId="0" applyFont="1" applyFill="1" applyBorder="1" applyAlignment="1">
      <alignment horizontal="justify" vertical="center" wrapText="1"/>
    </xf>
    <xf numFmtId="0" fontId="5" fillId="0" borderId="1" xfId="0" quotePrefix="1" applyFont="1" applyBorder="1" applyAlignment="1">
      <alignment vertical="center" wrapText="1"/>
    </xf>
    <xf numFmtId="164"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5" fillId="0" borderId="1" xfId="0" applyFont="1" applyBorder="1" applyAlignment="1">
      <alignment horizontal="justify" vertical="center" wrapText="1"/>
    </xf>
    <xf numFmtId="0" fontId="3" fillId="0" borderId="0" xfId="0" applyFont="1"/>
    <xf numFmtId="164" fontId="5" fillId="0" borderId="1" xfId="1" applyNumberFormat="1" applyFont="1" applyFill="1" applyBorder="1" applyAlignment="1">
      <alignment horizontal="center" vertical="center" wrapText="1"/>
    </xf>
    <xf numFmtId="0" fontId="5" fillId="0" borderId="1" xfId="0" applyFont="1" applyBorder="1" applyAlignment="1">
      <alignment vertical="center"/>
    </xf>
    <xf numFmtId="0" fontId="5" fillId="0" borderId="0" xfId="0" applyFont="1"/>
    <xf numFmtId="164" fontId="4" fillId="0" borderId="1" xfId="1" applyNumberFormat="1" applyFont="1" applyFill="1" applyBorder="1" applyAlignment="1">
      <alignment horizontal="right" vertical="center" wrapText="1"/>
    </xf>
    <xf numFmtId="0" fontId="4" fillId="0" borderId="0" xfId="0" applyFont="1"/>
    <xf numFmtId="165" fontId="6" fillId="3" borderId="1" xfId="0" applyNumberFormat="1" applyFont="1" applyFill="1" applyBorder="1" applyAlignment="1">
      <alignment vertical="center"/>
    </xf>
    <xf numFmtId="0" fontId="5" fillId="0" borderId="1" xfId="0" quotePrefix="1" applyFont="1" applyBorder="1" applyAlignment="1">
      <alignment horizontal="left" vertical="center" wrapText="1"/>
    </xf>
    <xf numFmtId="0" fontId="5" fillId="0" borderId="0" xfId="0" applyFont="1" applyAlignment="1">
      <alignment vertical="center" wrapText="1"/>
    </xf>
    <xf numFmtId="165" fontId="5" fillId="0" borderId="0" xfId="0" applyNumberFormat="1" applyFont="1"/>
    <xf numFmtId="0" fontId="6" fillId="0" borderId="1" xfId="0" applyFont="1" applyBorder="1" applyAlignment="1">
      <alignment vertical="center" wrapText="1"/>
    </xf>
    <xf numFmtId="0" fontId="6" fillId="0" borderId="1" xfId="0" applyFont="1" applyBorder="1" applyAlignment="1">
      <alignment vertical="center"/>
    </xf>
    <xf numFmtId="169" fontId="5" fillId="0" borderId="0" xfId="0" applyNumberFormat="1" applyFont="1"/>
    <xf numFmtId="0" fontId="5" fillId="0" borderId="0" xfId="0" applyFont="1" applyAlignment="1">
      <alignment vertical="center"/>
    </xf>
    <xf numFmtId="0" fontId="5" fillId="0" borderId="0" xfId="0" applyFont="1" applyAlignment="1">
      <alignment horizontal="left" vertical="center"/>
    </xf>
    <xf numFmtId="3" fontId="0" fillId="0" borderId="0" xfId="0" applyNumberFormat="1"/>
    <xf numFmtId="0" fontId="0" fillId="0" borderId="0" xfId="0" quotePrefix="1"/>
    <xf numFmtId="0" fontId="3" fillId="0" borderId="1" xfId="0" applyFont="1" applyBorder="1" applyAlignment="1">
      <alignment horizontal="center" vertical="center"/>
    </xf>
    <xf numFmtId="0" fontId="3" fillId="0" borderId="1" xfId="0" applyFont="1" applyBorder="1" applyAlignment="1">
      <alignment horizontal="center"/>
    </xf>
    <xf numFmtId="0" fontId="3" fillId="0" borderId="1" xfId="0" applyFont="1" applyBorder="1"/>
    <xf numFmtId="3" fontId="10" fillId="3" borderId="1" xfId="0" applyNumberFormat="1" applyFont="1" applyFill="1" applyBorder="1"/>
    <xf numFmtId="0" fontId="0" fillId="0" borderId="1" xfId="0" applyBorder="1"/>
    <xf numFmtId="0" fontId="11" fillId="0" borderId="1" xfId="0" applyFont="1" applyBorder="1" applyAlignment="1">
      <alignment horizontal="justify" vertical="center" wrapText="1"/>
    </xf>
    <xf numFmtId="0" fontId="0" fillId="0" borderId="7" xfId="0" applyBorder="1"/>
    <xf numFmtId="0" fontId="3" fillId="0" borderId="1" xfId="0" applyFont="1" applyBorder="1" applyAlignment="1">
      <alignment wrapText="1"/>
    </xf>
    <xf numFmtId="3" fontId="3" fillId="4" borderId="1" xfId="0" applyNumberFormat="1" applyFont="1" applyFill="1" applyBorder="1" applyAlignment="1">
      <alignment vertical="center"/>
    </xf>
    <xf numFmtId="3" fontId="3" fillId="0" borderId="1" xfId="0" applyNumberFormat="1" applyFont="1" applyBorder="1" applyAlignment="1">
      <alignment vertical="center"/>
    </xf>
    <xf numFmtId="0" fontId="12" fillId="5" borderId="1" xfId="0" applyFont="1" applyFill="1" applyBorder="1" applyAlignment="1">
      <alignment horizontal="center" vertical="center"/>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3" fontId="12" fillId="5" borderId="1" xfId="0" applyNumberFormat="1" applyFont="1" applyFill="1" applyBorder="1" applyAlignment="1">
      <alignment vertical="center"/>
    </xf>
    <xf numFmtId="0" fontId="13" fillId="5" borderId="1" xfId="0" quotePrefix="1" applyFont="1" applyFill="1" applyBorder="1" applyAlignment="1">
      <alignment vertical="center" wrapText="1"/>
    </xf>
    <xf numFmtId="0" fontId="13" fillId="5" borderId="7" xfId="0" quotePrefix="1" applyFont="1" applyFill="1" applyBorder="1" applyAlignment="1">
      <alignment vertical="center" wrapText="1"/>
    </xf>
    <xf numFmtId="0" fontId="14" fillId="5" borderId="1" xfId="0" applyFont="1" applyFill="1" applyBorder="1" applyAlignment="1">
      <alignment horizontal="center"/>
    </xf>
    <xf numFmtId="0" fontId="14" fillId="5" borderId="1" xfId="0" applyFont="1" applyFill="1" applyBorder="1" applyAlignment="1">
      <alignment vertical="center" wrapText="1"/>
    </xf>
    <xf numFmtId="0" fontId="7" fillId="5" borderId="1" xfId="0" applyFont="1" applyFill="1" applyBorder="1"/>
    <xf numFmtId="0" fontId="13" fillId="5" borderId="1" xfId="0" applyFont="1" applyFill="1" applyBorder="1" applyAlignment="1">
      <alignment horizontal="justify" vertical="center" wrapText="1"/>
    </xf>
    <xf numFmtId="3" fontId="15" fillId="5" borderId="1" xfId="1" applyNumberFormat="1" applyFont="1" applyFill="1" applyBorder="1" applyAlignment="1">
      <alignment horizontal="left" vertical="center" wrapText="1"/>
    </xf>
    <xf numFmtId="3" fontId="15" fillId="5" borderId="1" xfId="1" applyNumberFormat="1" applyFont="1" applyFill="1" applyBorder="1" applyAlignment="1">
      <alignment horizontal="center" vertical="center" wrapText="1"/>
    </xf>
    <xf numFmtId="3" fontId="15" fillId="5" borderId="1" xfId="0" applyNumberFormat="1" applyFont="1" applyFill="1" applyBorder="1" applyAlignment="1">
      <alignment vertical="center"/>
    </xf>
    <xf numFmtId="3" fontId="15" fillId="5" borderId="1" xfId="0" applyNumberFormat="1" applyFont="1" applyFill="1" applyBorder="1"/>
    <xf numFmtId="9" fontId="15" fillId="5" borderId="1" xfId="2" applyFont="1" applyFill="1" applyBorder="1" applyAlignment="1">
      <alignment vertical="center"/>
    </xf>
    <xf numFmtId="9" fontId="15" fillId="5" borderId="1" xfId="2" applyFont="1" applyFill="1" applyBorder="1"/>
    <xf numFmtId="0" fontId="16" fillId="5" borderId="7" xfId="0" quotePrefix="1" applyFont="1" applyFill="1" applyBorder="1" applyAlignment="1">
      <alignment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vertical="center" wrapText="1"/>
    </xf>
    <xf numFmtId="170" fontId="17" fillId="6" borderId="1" xfId="0" applyNumberFormat="1" applyFont="1" applyFill="1" applyBorder="1" applyAlignment="1">
      <alignment vertical="center"/>
    </xf>
    <xf numFmtId="3" fontId="15" fillId="6" borderId="1" xfId="0" applyNumberFormat="1" applyFont="1" applyFill="1" applyBorder="1" applyAlignment="1">
      <alignment vertical="center"/>
    </xf>
    <xf numFmtId="0" fontId="13" fillId="6" borderId="1" xfId="0" quotePrefix="1" applyFont="1" applyFill="1" applyBorder="1" applyAlignment="1">
      <alignment horizontal="justify" vertical="center" wrapText="1"/>
    </xf>
    <xf numFmtId="0" fontId="13" fillId="6" borderId="7" xfId="0" quotePrefix="1" applyFont="1" applyFill="1" applyBorder="1" applyAlignment="1">
      <alignment vertical="center" wrapText="1"/>
    </xf>
    <xf numFmtId="0" fontId="18" fillId="0" borderId="1" xfId="0" applyFont="1" applyBorder="1" applyAlignment="1">
      <alignment horizontal="center" vertical="center"/>
    </xf>
    <xf numFmtId="0" fontId="18" fillId="0" borderId="1" xfId="0" applyFont="1" applyBorder="1" applyAlignment="1">
      <alignment vertical="center" wrapText="1"/>
    </xf>
    <xf numFmtId="3" fontId="19" fillId="0" borderId="1" xfId="0" applyNumberFormat="1" applyFont="1" applyBorder="1" applyAlignment="1">
      <alignment horizontal="center" vertical="center" wrapText="1"/>
    </xf>
    <xf numFmtId="3" fontId="18" fillId="0" borderId="1" xfId="0" applyNumberFormat="1" applyFont="1" applyBorder="1" applyAlignment="1">
      <alignment vertical="center"/>
    </xf>
    <xf numFmtId="0" fontId="20" fillId="0" borderId="1" xfId="0" applyFont="1" applyBorder="1" applyAlignment="1">
      <alignment horizontal="justify" vertical="center" wrapText="1"/>
    </xf>
    <xf numFmtId="0" fontId="20" fillId="0" borderId="7" xfId="0" quotePrefix="1" applyFont="1" applyBorder="1" applyAlignment="1">
      <alignment vertical="center" wrapText="1"/>
    </xf>
    <xf numFmtId="0" fontId="19" fillId="0" borderId="1" xfId="0" applyFont="1" applyBorder="1" applyAlignment="1">
      <alignment horizontal="center"/>
    </xf>
    <xf numFmtId="0" fontId="21" fillId="0" borderId="1" xfId="0" applyFont="1" applyBorder="1" applyAlignment="1">
      <alignment vertical="center" wrapText="1"/>
    </xf>
    <xf numFmtId="3" fontId="21" fillId="0" borderId="1" xfId="0" applyNumberFormat="1" applyFont="1" applyBorder="1" applyAlignment="1">
      <alignment horizontal="center" vertical="center" wrapText="1"/>
    </xf>
    <xf numFmtId="3" fontId="19" fillId="0" borderId="1" xfId="0" applyNumberFormat="1" applyFont="1" applyBorder="1" applyAlignment="1">
      <alignment vertical="center"/>
    </xf>
    <xf numFmtId="9" fontId="19" fillId="0" borderId="1" xfId="2" applyFont="1" applyBorder="1" applyAlignment="1">
      <alignment vertical="center"/>
    </xf>
    <xf numFmtId="171" fontId="19" fillId="0" borderId="1" xfId="1" applyNumberFormat="1" applyFont="1" applyBorder="1" applyAlignment="1">
      <alignment vertical="center"/>
    </xf>
    <xf numFmtId="3" fontId="21" fillId="0" borderId="1" xfId="1" applyNumberFormat="1" applyFont="1" applyFill="1" applyBorder="1" applyAlignment="1">
      <alignment horizontal="left" vertical="center" wrapText="1"/>
    </xf>
    <xf numFmtId="0" fontId="20" fillId="0" borderId="1" xfId="0" quotePrefix="1" applyFont="1" applyBorder="1" applyAlignment="1">
      <alignment horizontal="justify" vertical="center" wrapText="1"/>
    </xf>
    <xf numFmtId="3" fontId="21" fillId="0" borderId="1" xfId="1" applyNumberFormat="1" applyFont="1" applyFill="1" applyBorder="1" applyAlignment="1">
      <alignment horizontal="right" vertical="center" wrapText="1"/>
    </xf>
    <xf numFmtId="0" fontId="3" fillId="0" borderId="1" xfId="0" applyFont="1" applyBorder="1" applyAlignment="1">
      <alignment vertical="center" wrapText="1"/>
    </xf>
    <xf numFmtId="0" fontId="2" fillId="0" borderId="1" xfId="0" applyFont="1" applyBorder="1" applyAlignment="1">
      <alignment horizontal="center" vertical="center" wrapText="1"/>
    </xf>
    <xf numFmtId="0" fontId="11" fillId="0" borderId="1" xfId="0" quotePrefix="1" applyFont="1" applyBorder="1" applyAlignment="1">
      <alignment vertical="center" wrapText="1"/>
    </xf>
    <xf numFmtId="0" fontId="11" fillId="0" borderId="7" xfId="0" quotePrefix="1" applyFont="1" applyBorder="1" applyAlignment="1">
      <alignment vertical="center" wrapText="1"/>
    </xf>
    <xf numFmtId="0" fontId="2" fillId="0" borderId="1" xfId="0" applyFont="1" applyBorder="1" applyAlignment="1">
      <alignment horizontal="center"/>
    </xf>
    <xf numFmtId="3" fontId="22" fillId="0" borderId="1" xfId="1" applyNumberFormat="1" applyFont="1" applyFill="1" applyBorder="1" applyAlignment="1">
      <alignment horizontal="left" vertical="center" wrapText="1"/>
    </xf>
    <xf numFmtId="3" fontId="22" fillId="0" borderId="1" xfId="1" applyNumberFormat="1" applyFont="1" applyFill="1" applyBorder="1" applyAlignment="1">
      <alignment horizontal="center" vertical="center" wrapText="1"/>
    </xf>
    <xf numFmtId="3" fontId="22" fillId="0" borderId="1" xfId="0" applyNumberFormat="1" applyFont="1" applyBorder="1" applyAlignment="1">
      <alignment vertical="center"/>
    </xf>
    <xf numFmtId="9" fontId="22" fillId="0" borderId="1" xfId="2" applyFont="1" applyBorder="1" applyAlignment="1">
      <alignment vertical="center"/>
    </xf>
    <xf numFmtId="9" fontId="22" fillId="0" borderId="1" xfId="2" applyFont="1" applyBorder="1" applyAlignment="1">
      <alignment horizontal="right" vertical="center"/>
    </xf>
    <xf numFmtId="9" fontId="22" fillId="0" borderId="1" xfId="2" applyFont="1" applyBorder="1" applyAlignment="1">
      <alignment horizontal="center" vertical="center"/>
    </xf>
    <xf numFmtId="0" fontId="19" fillId="0" borderId="1" xfId="0" applyFont="1" applyBorder="1" applyAlignment="1">
      <alignment horizontal="center" vertical="center" wrapText="1"/>
    </xf>
    <xf numFmtId="9" fontId="21" fillId="0" borderId="1" xfId="2" applyFont="1" applyBorder="1" applyAlignment="1">
      <alignment horizontal="center" vertical="center"/>
    </xf>
    <xf numFmtId="0" fontId="22" fillId="0" borderId="1" xfId="0" applyFont="1" applyBorder="1" applyAlignment="1">
      <alignment vertical="center" wrapText="1"/>
    </xf>
    <xf numFmtId="3" fontId="22" fillId="0" borderId="1" xfId="0" applyNumberFormat="1" applyFont="1" applyBorder="1" applyAlignment="1">
      <alignment horizontal="center" vertical="center" wrapText="1"/>
    </xf>
    <xf numFmtId="3" fontId="2" fillId="0" borderId="1" xfId="0" applyNumberFormat="1" applyFont="1" applyBorder="1" applyAlignment="1">
      <alignment vertical="center"/>
    </xf>
    <xf numFmtId="9" fontId="2" fillId="0" borderId="1" xfId="2" applyFont="1" applyBorder="1" applyAlignment="1">
      <alignment vertical="center"/>
    </xf>
    <xf numFmtId="0" fontId="22" fillId="0" borderId="1" xfId="0" applyFont="1" applyBorder="1" applyAlignment="1">
      <alignment horizontal="right" vertical="center" wrapText="1"/>
    </xf>
    <xf numFmtId="0" fontId="12" fillId="4" borderId="1" xfId="0" applyFont="1" applyFill="1" applyBorder="1" applyAlignment="1">
      <alignment horizontal="center" vertical="center"/>
    </xf>
    <xf numFmtId="0" fontId="12" fillId="4" borderId="1" xfId="0" applyFont="1" applyFill="1" applyBorder="1" applyAlignment="1">
      <alignment vertical="center" wrapText="1"/>
    </xf>
    <xf numFmtId="0" fontId="14" fillId="4" borderId="1" xfId="0" applyFont="1" applyFill="1" applyBorder="1" applyAlignment="1">
      <alignment vertical="center" wrapText="1"/>
    </xf>
    <xf numFmtId="3" fontId="12" fillId="4" borderId="1" xfId="0" applyNumberFormat="1" applyFont="1" applyFill="1" applyBorder="1" applyAlignment="1">
      <alignment vertical="center"/>
    </xf>
    <xf numFmtId="0" fontId="13" fillId="4" borderId="1" xfId="0" applyFont="1" applyFill="1" applyBorder="1" applyAlignment="1">
      <alignment horizontal="justify" vertical="center" wrapText="1"/>
    </xf>
    <xf numFmtId="0" fontId="13" fillId="4" borderId="7" xfId="0" quotePrefix="1" applyFont="1" applyFill="1" applyBorder="1" applyAlignment="1">
      <alignment vertical="center" wrapText="1"/>
    </xf>
    <xf numFmtId="0" fontId="15" fillId="4" borderId="1" xfId="0" applyFont="1" applyFill="1" applyBorder="1" applyAlignment="1">
      <alignment vertical="center" wrapText="1"/>
    </xf>
    <xf numFmtId="9" fontId="14" fillId="4" borderId="1" xfId="2" applyFont="1" applyFill="1" applyBorder="1" applyAlignment="1">
      <alignment horizontal="right" vertical="center"/>
    </xf>
    <xf numFmtId="9" fontId="7" fillId="4" borderId="1" xfId="0" applyNumberFormat="1" applyFont="1" applyFill="1" applyBorder="1" applyAlignment="1">
      <alignment horizontal="right" vertical="center"/>
    </xf>
    <xf numFmtId="0" fontId="14" fillId="4" borderId="1" xfId="0" applyFont="1" applyFill="1" applyBorder="1" applyAlignment="1">
      <alignment horizontal="center"/>
    </xf>
    <xf numFmtId="0" fontId="13" fillId="4" borderId="1" xfId="0" quotePrefix="1" applyFont="1" applyFill="1" applyBorder="1" applyAlignment="1">
      <alignment vertical="center" wrapText="1"/>
    </xf>
    <xf numFmtId="0" fontId="14"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3" fontId="15" fillId="4" borderId="1" xfId="0" applyNumberFormat="1" applyFont="1" applyFill="1" applyBorder="1" applyAlignment="1">
      <alignment vertical="center"/>
    </xf>
    <xf numFmtId="0" fontId="7" fillId="4" borderId="1" xfId="0" applyFont="1" applyFill="1" applyBorder="1"/>
    <xf numFmtId="9" fontId="15" fillId="4" borderId="1" xfId="2" applyFont="1" applyFill="1" applyBorder="1" applyAlignment="1">
      <alignment vertical="center"/>
    </xf>
    <xf numFmtId="4" fontId="15" fillId="4" borderId="1" xfId="0" applyNumberFormat="1" applyFont="1" applyFill="1" applyBorder="1" applyAlignment="1">
      <alignment vertical="center"/>
    </xf>
    <xf numFmtId="3" fontId="23" fillId="4" borderId="1" xfId="0" applyNumberFormat="1" applyFont="1" applyFill="1" applyBorder="1" applyAlignment="1">
      <alignment vertical="center"/>
    </xf>
    <xf numFmtId="0" fontId="14" fillId="4" borderId="2" xfId="0" applyFont="1" applyFill="1" applyBorder="1" applyAlignment="1">
      <alignment horizontal="center"/>
    </xf>
    <xf numFmtId="0" fontId="15" fillId="4" borderId="2" xfId="0" applyFont="1" applyFill="1" applyBorder="1" applyAlignment="1">
      <alignment vertical="center" wrapText="1"/>
    </xf>
    <xf numFmtId="0" fontId="15" fillId="4" borderId="2" xfId="0" applyFont="1" applyFill="1" applyBorder="1" applyAlignment="1">
      <alignment horizontal="center" vertical="center" wrapText="1"/>
    </xf>
    <xf numFmtId="3" fontId="15" fillId="4" borderId="2" xfId="0" applyNumberFormat="1" applyFont="1" applyFill="1" applyBorder="1" applyAlignment="1">
      <alignment vertical="center"/>
    </xf>
    <xf numFmtId="0" fontId="7" fillId="4" borderId="2" xfId="0" applyFont="1" applyFill="1" applyBorder="1"/>
    <xf numFmtId="0" fontId="13" fillId="4" borderId="2" xfId="0" applyFont="1" applyFill="1" applyBorder="1" applyAlignment="1">
      <alignment horizontal="justify" vertical="center" wrapText="1"/>
    </xf>
    <xf numFmtId="0" fontId="13" fillId="4" borderId="8" xfId="0" quotePrefix="1" applyFont="1" applyFill="1" applyBorder="1" applyAlignment="1">
      <alignment vertical="center" wrapText="1"/>
    </xf>
    <xf numFmtId="0" fontId="11" fillId="7" borderId="1" xfId="0" quotePrefix="1" applyFont="1" applyFill="1" applyBorder="1" applyAlignment="1">
      <alignment horizontal="center" vertical="center" wrapText="1"/>
    </xf>
    <xf numFmtId="0" fontId="11" fillId="7" borderId="1" xfId="0" quotePrefix="1" applyFont="1" applyFill="1" applyBorder="1" applyAlignment="1">
      <alignment horizontal="left" vertical="center" wrapText="1"/>
    </xf>
    <xf numFmtId="0" fontId="12" fillId="7" borderId="3" xfId="0" applyFont="1" applyFill="1" applyBorder="1" applyAlignment="1">
      <alignment horizontal="center" vertical="center"/>
    </xf>
    <xf numFmtId="0" fontId="12" fillId="7" borderId="3" xfId="0" applyFont="1" applyFill="1" applyBorder="1" applyAlignment="1">
      <alignment vertical="center" wrapText="1"/>
    </xf>
    <xf numFmtId="3" fontId="14" fillId="7" borderId="3" xfId="1" applyNumberFormat="1" applyFont="1" applyFill="1" applyBorder="1" applyAlignment="1">
      <alignment horizontal="center" vertical="center" wrapText="1"/>
    </xf>
    <xf numFmtId="3" fontId="12" fillId="7" borderId="3" xfId="0" applyNumberFormat="1" applyFont="1" applyFill="1" applyBorder="1" applyAlignment="1">
      <alignment vertical="center"/>
    </xf>
    <xf numFmtId="0" fontId="13" fillId="7" borderId="3" xfId="0" quotePrefix="1" applyFont="1" applyFill="1" applyBorder="1" applyAlignment="1">
      <alignment vertical="center" wrapText="1"/>
    </xf>
    <xf numFmtId="0" fontId="11" fillId="7" borderId="9" xfId="0" quotePrefix="1" applyFont="1" applyFill="1" applyBorder="1" applyAlignment="1">
      <alignment vertical="center" wrapText="1"/>
    </xf>
    <xf numFmtId="0" fontId="14" fillId="7" borderId="1" xfId="0" quotePrefix="1" applyFont="1" applyFill="1" applyBorder="1" applyAlignment="1">
      <alignment horizontal="center" vertical="center"/>
    </xf>
    <xf numFmtId="0" fontId="14" fillId="7" borderId="1" xfId="0" applyFont="1" applyFill="1" applyBorder="1" applyAlignment="1">
      <alignment vertical="center" wrapText="1"/>
    </xf>
    <xf numFmtId="3" fontId="14" fillId="7" borderId="1" xfId="1" applyNumberFormat="1" applyFont="1" applyFill="1" applyBorder="1" applyAlignment="1">
      <alignment horizontal="center" vertical="center" wrapText="1"/>
    </xf>
    <xf numFmtId="3" fontId="12" fillId="7" borderId="1" xfId="0" applyNumberFormat="1" applyFont="1" applyFill="1" applyBorder="1" applyAlignment="1">
      <alignment vertical="center"/>
    </xf>
    <xf numFmtId="3" fontId="15" fillId="7" borderId="1" xfId="0" applyNumberFormat="1" applyFont="1" applyFill="1" applyBorder="1" applyAlignment="1">
      <alignment vertical="center"/>
    </xf>
    <xf numFmtId="0" fontId="13" fillId="7" borderId="1" xfId="0" quotePrefix="1" applyFont="1" applyFill="1" applyBorder="1" applyAlignment="1">
      <alignment vertical="center" wrapText="1"/>
    </xf>
    <xf numFmtId="0" fontId="11" fillId="7" borderId="7" xfId="0" quotePrefix="1" applyFont="1" applyFill="1" applyBorder="1" applyAlignment="1">
      <alignment vertical="center" wrapText="1"/>
    </xf>
    <xf numFmtId="3" fontId="15" fillId="7"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xf>
    <xf numFmtId="0" fontId="15" fillId="7" borderId="1" xfId="0" applyFont="1" applyFill="1" applyBorder="1" applyAlignment="1">
      <alignment vertical="center" wrapText="1"/>
    </xf>
    <xf numFmtId="0" fontId="11" fillId="7" borderId="0" xfId="0" quotePrefix="1" applyFont="1" applyFill="1" applyAlignment="1">
      <alignment vertical="center" wrapText="1"/>
    </xf>
    <xf numFmtId="0" fontId="7" fillId="7" borderId="1" xfId="0" applyFont="1" applyFill="1" applyBorder="1"/>
    <xf numFmtId="0" fontId="7" fillId="7" borderId="0" xfId="0" applyFont="1" applyFill="1"/>
    <xf numFmtId="0" fontId="12" fillId="7" borderId="1" xfId="0" applyFont="1" applyFill="1" applyBorder="1" applyAlignment="1">
      <alignment vertical="center" wrapText="1"/>
    </xf>
    <xf numFmtId="0" fontId="14" fillId="7" borderId="1" xfId="0" applyFont="1" applyFill="1" applyBorder="1" applyAlignment="1">
      <alignment horizontal="center" vertical="center" wrapText="1"/>
    </xf>
    <xf numFmtId="0" fontId="13" fillId="7" borderId="7" xfId="0" quotePrefix="1" applyFont="1" applyFill="1" applyBorder="1" applyAlignment="1">
      <alignment vertical="center" wrapText="1"/>
    </xf>
    <xf numFmtId="0" fontId="14" fillId="7" borderId="1" xfId="0" applyFont="1" applyFill="1" applyBorder="1" applyAlignment="1">
      <alignment horizontal="center" vertical="center"/>
    </xf>
    <xf numFmtId="3" fontId="14" fillId="7" borderId="1" xfId="0" applyNumberFormat="1" applyFont="1" applyFill="1" applyBorder="1" applyAlignment="1">
      <alignment vertical="center"/>
    </xf>
    <xf numFmtId="0" fontId="13" fillId="7" borderId="1" xfId="0" applyFont="1" applyFill="1" applyBorder="1" applyAlignment="1">
      <alignment horizontal="justify" vertical="center" wrapText="1"/>
    </xf>
    <xf numFmtId="0" fontId="14" fillId="7" borderId="1" xfId="0" applyFont="1" applyFill="1" applyBorder="1" applyAlignment="1">
      <alignment horizontal="center"/>
    </xf>
    <xf numFmtId="9" fontId="14" fillId="7" borderId="1" xfId="2" applyFont="1" applyFill="1" applyBorder="1" applyAlignment="1">
      <alignment vertical="center"/>
    </xf>
    <xf numFmtId="0" fontId="15" fillId="7" borderId="1" xfId="0" applyFont="1" applyFill="1" applyBorder="1" applyAlignment="1">
      <alignment horizontal="right" vertical="center" wrapText="1"/>
    </xf>
    <xf numFmtId="0" fontId="7" fillId="0" borderId="1" xfId="0" applyFont="1" applyBorder="1"/>
    <xf numFmtId="0" fontId="15" fillId="0" borderId="1" xfId="0" applyFont="1" applyBorder="1" applyAlignment="1">
      <alignment vertical="center" wrapText="1"/>
    </xf>
    <xf numFmtId="3" fontId="15" fillId="0" borderId="1" xfId="0" applyNumberFormat="1" applyFont="1" applyBorder="1" applyAlignment="1">
      <alignment horizontal="center" vertical="center" wrapText="1"/>
    </xf>
    <xf numFmtId="3" fontId="15" fillId="0" borderId="1" xfId="0" applyNumberFormat="1" applyFont="1" applyBorder="1" applyAlignment="1">
      <alignment vertical="center"/>
    </xf>
    <xf numFmtId="3" fontId="12" fillId="0" borderId="1" xfId="0" applyNumberFormat="1" applyFont="1" applyBorder="1" applyAlignment="1">
      <alignment vertical="center"/>
    </xf>
    <xf numFmtId="0" fontId="14" fillId="0" borderId="1" xfId="0" quotePrefix="1" applyFont="1" applyBorder="1" applyAlignment="1">
      <alignment horizontal="center" vertical="center"/>
    </xf>
    <xf numFmtId="0" fontId="14" fillId="0" borderId="1" xfId="0" applyFont="1" applyBorder="1" applyAlignment="1">
      <alignment vertical="center" wrapText="1"/>
    </xf>
    <xf numFmtId="3" fontId="14" fillId="0" borderId="1" xfId="0" applyNumberFormat="1" applyFont="1" applyBorder="1" applyAlignment="1">
      <alignment vertical="center"/>
    </xf>
    <xf numFmtId="0" fontId="13" fillId="0" borderId="1" xfId="0" quotePrefix="1" applyFont="1" applyBorder="1" applyAlignment="1">
      <alignment vertical="center" wrapText="1"/>
    </xf>
    <xf numFmtId="0" fontId="14" fillId="0" borderId="1" xfId="0" applyFont="1" applyBorder="1" applyAlignment="1">
      <alignment horizontal="center" vertical="center"/>
    </xf>
    <xf numFmtId="0" fontId="13" fillId="0" borderId="1" xfId="0" applyFont="1" applyBorder="1" applyAlignment="1">
      <alignment horizontal="justify" vertical="center" wrapText="1"/>
    </xf>
    <xf numFmtId="0" fontId="13" fillId="0" borderId="7" xfId="0" quotePrefix="1" applyFont="1" applyBorder="1" applyAlignment="1">
      <alignment vertical="center" wrapText="1"/>
    </xf>
    <xf numFmtId="9" fontId="15" fillId="0" borderId="1" xfId="2" applyFont="1" applyBorder="1" applyAlignment="1">
      <alignment vertical="center"/>
    </xf>
    <xf numFmtId="3" fontId="21" fillId="0" borderId="1" xfId="1" applyNumberFormat="1" applyFont="1" applyFill="1" applyBorder="1" applyAlignment="1">
      <alignment horizontal="center" vertical="center" wrapText="1"/>
    </xf>
    <xf numFmtId="0" fontId="24" fillId="0" borderId="0" xfId="0" applyFont="1"/>
    <xf numFmtId="3" fontId="21" fillId="0" borderId="1" xfId="0" applyNumberFormat="1" applyFont="1" applyBorder="1" applyAlignment="1">
      <alignment vertical="center"/>
    </xf>
    <xf numFmtId="9" fontId="21" fillId="0" borderId="1" xfId="2" applyFont="1" applyFill="1" applyBorder="1" applyAlignment="1">
      <alignment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0" fontId="25" fillId="0" borderId="1" xfId="0" applyFont="1" applyBorder="1" applyAlignment="1">
      <alignment vertical="center" wrapText="1"/>
    </xf>
    <xf numFmtId="3" fontId="17" fillId="0" borderId="1" xfId="0" applyNumberFormat="1" applyFont="1" applyBorder="1" applyAlignment="1">
      <alignment vertical="center"/>
    </xf>
    <xf numFmtId="0" fontId="26" fillId="0" borderId="1" xfId="0" applyFont="1" applyBorder="1"/>
    <xf numFmtId="0" fontId="27" fillId="0" borderId="1" xfId="0" applyFont="1" applyBorder="1" applyAlignment="1">
      <alignment horizontal="justify" vertical="center" wrapText="1"/>
    </xf>
    <xf numFmtId="0" fontId="27" fillId="0" borderId="7" xfId="0" quotePrefix="1" applyFont="1" applyBorder="1" applyAlignment="1">
      <alignment vertical="center" wrapText="1"/>
    </xf>
    <xf numFmtId="0" fontId="25" fillId="0" borderId="1" xfId="0" applyFont="1" applyBorder="1" applyAlignment="1">
      <alignment horizontal="center"/>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3" fontId="28" fillId="0" borderId="1" xfId="0" applyNumberFormat="1" applyFont="1" applyBorder="1" applyAlignment="1">
      <alignment vertical="center"/>
    </xf>
    <xf numFmtId="9" fontId="28" fillId="0" borderId="1" xfId="2" applyFont="1" applyBorder="1" applyAlignment="1">
      <alignment vertical="center"/>
    </xf>
    <xf numFmtId="0" fontId="2" fillId="0" borderId="1" xfId="0" applyFont="1" applyBorder="1" applyAlignment="1">
      <alignment vertical="center" wrapText="1"/>
    </xf>
    <xf numFmtId="0" fontId="18" fillId="6" borderId="1" xfId="0" applyFont="1" applyFill="1" applyBorder="1" applyAlignment="1">
      <alignment horizontal="center" vertical="center"/>
    </xf>
    <xf numFmtId="0" fontId="18" fillId="6" borderId="1" xfId="0" quotePrefix="1" applyFont="1" applyFill="1" applyBorder="1" applyAlignment="1">
      <alignment vertical="center" wrapText="1"/>
    </xf>
    <xf numFmtId="0" fontId="21" fillId="6" borderId="1" xfId="0" applyFont="1" applyFill="1" applyBorder="1" applyAlignment="1">
      <alignment horizontal="center" vertical="center" wrapText="1"/>
    </xf>
    <xf numFmtId="3" fontId="18" fillId="6" borderId="1" xfId="0" applyNumberFormat="1" applyFont="1" applyFill="1" applyBorder="1" applyAlignment="1">
      <alignment vertical="center"/>
    </xf>
    <xf numFmtId="3" fontId="21" fillId="6" borderId="1" xfId="0" applyNumberFormat="1" applyFont="1" applyFill="1" applyBorder="1" applyAlignment="1">
      <alignment vertical="center"/>
    </xf>
    <xf numFmtId="0" fontId="24" fillId="6" borderId="1" xfId="0" applyFont="1" applyFill="1" applyBorder="1"/>
    <xf numFmtId="0" fontId="20" fillId="6" borderId="1" xfId="0" applyFont="1" applyFill="1" applyBorder="1" applyAlignment="1">
      <alignment horizontal="justify" vertical="center" wrapText="1"/>
    </xf>
    <xf numFmtId="0" fontId="20" fillId="6" borderId="7" xfId="0" quotePrefix="1" applyFont="1" applyFill="1" applyBorder="1" applyAlignment="1">
      <alignment vertical="center" wrapText="1"/>
    </xf>
    <xf numFmtId="0" fontId="21" fillId="6" borderId="1" xfId="0" applyFont="1" applyFill="1" applyBorder="1" applyAlignment="1">
      <alignment vertical="center" wrapText="1"/>
    </xf>
    <xf numFmtId="9" fontId="21" fillId="6" borderId="1" xfId="2" applyFont="1" applyFill="1" applyBorder="1" applyAlignment="1">
      <alignment vertical="center"/>
    </xf>
    <xf numFmtId="0" fontId="29" fillId="6" borderId="1" xfId="0" quotePrefix="1" applyFont="1" applyFill="1" applyBorder="1" applyAlignment="1">
      <alignment horizontal="justify" vertical="center" wrapText="1"/>
    </xf>
    <xf numFmtId="0" fontId="19" fillId="6" borderId="1" xfId="0" quotePrefix="1" applyFont="1" applyFill="1" applyBorder="1" applyAlignment="1">
      <alignment horizontal="center" vertical="center"/>
    </xf>
    <xf numFmtId="0" fontId="30" fillId="6" borderId="1" xfId="0" quotePrefix="1" applyFont="1" applyFill="1" applyBorder="1" applyAlignment="1">
      <alignment horizontal="justify" vertical="center" wrapText="1"/>
    </xf>
    <xf numFmtId="0" fontId="19" fillId="6" borderId="1" xfId="0" applyFont="1" applyFill="1" applyBorder="1" applyAlignment="1">
      <alignment horizontal="center"/>
    </xf>
    <xf numFmtId="0" fontId="29" fillId="6" borderId="1" xfId="0" quotePrefix="1" applyFont="1" applyFill="1" applyBorder="1" applyAlignment="1">
      <alignment horizontal="left" vertical="center" wrapText="1"/>
    </xf>
    <xf numFmtId="0" fontId="19" fillId="6" borderId="1" xfId="0" applyFont="1" applyFill="1" applyBorder="1" applyAlignment="1">
      <alignment horizontal="center" vertical="center"/>
    </xf>
    <xf numFmtId="0" fontId="31" fillId="0" borderId="1" xfId="0" quotePrefix="1" applyFont="1" applyBorder="1" applyAlignment="1">
      <alignment horizontal="justify" vertical="center" wrapText="1"/>
    </xf>
    <xf numFmtId="0" fontId="32" fillId="0" borderId="1" xfId="0" applyFont="1" applyBorder="1" applyAlignment="1">
      <alignment horizontal="center" vertical="center" wrapText="1"/>
    </xf>
    <xf numFmtId="0" fontId="8" fillId="0" borderId="1" xfId="0" applyFont="1" applyBorder="1"/>
    <xf numFmtId="0" fontId="33" fillId="0" borderId="1" xfId="0" applyFont="1" applyBorder="1" applyAlignment="1">
      <alignment horizontal="justify" vertical="center" wrapText="1"/>
    </xf>
    <xf numFmtId="0" fontId="14" fillId="4" borderId="1" xfId="0" quotePrefix="1" applyFont="1" applyFill="1" applyBorder="1" applyAlignment="1">
      <alignment horizontal="center" vertical="center"/>
    </xf>
    <xf numFmtId="0" fontId="14" fillId="4" borderId="1" xfId="0" applyFont="1" applyFill="1" applyBorder="1" applyAlignment="1">
      <alignment horizontal="justify" vertical="center" wrapText="1"/>
    </xf>
    <xf numFmtId="0" fontId="14" fillId="4" borderId="1" xfId="0" applyFont="1" applyFill="1" applyBorder="1" applyAlignment="1">
      <alignment horizontal="center" vertical="center" wrapText="1"/>
    </xf>
    <xf numFmtId="3" fontId="14" fillId="4" borderId="1" xfId="0" applyNumberFormat="1" applyFont="1" applyFill="1" applyBorder="1" applyAlignment="1">
      <alignment vertical="center"/>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34" fillId="0" borderId="1" xfId="0" applyFont="1" applyBorder="1"/>
    <xf numFmtId="10" fontId="15" fillId="0" borderId="1" xfId="2" applyNumberFormat="1" applyFont="1" applyBorder="1" applyAlignment="1">
      <alignment vertical="center"/>
    </xf>
    <xf numFmtId="0" fontId="35" fillId="0" borderId="1" xfId="0" applyFont="1" applyBorder="1" applyAlignment="1">
      <alignment horizontal="justify" vertical="center" wrapText="1"/>
    </xf>
    <xf numFmtId="172" fontId="15" fillId="0" borderId="1" xfId="2" applyNumberFormat="1" applyFont="1" applyBorder="1" applyAlignment="1">
      <alignment vertical="center"/>
    </xf>
    <xf numFmtId="0" fontId="15" fillId="4" borderId="1" xfId="0" applyFont="1" applyFill="1" applyBorder="1" applyAlignment="1">
      <alignment horizontal="justify" vertical="center" wrapText="1"/>
    </xf>
    <xf numFmtId="0" fontId="34" fillId="4" borderId="1" xfId="0" applyFont="1" applyFill="1" applyBorder="1"/>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Border="1" applyAlignment="1">
      <alignment horizontal="center" vertical="center"/>
    </xf>
    <xf numFmtId="0" fontId="0" fillId="0" borderId="0" xfId="0" applyBorder="1"/>
    <xf numFmtId="0" fontId="7" fillId="0" borderId="0" xfId="0" applyFont="1" applyAlignment="1">
      <alignment horizontal="center" vertical="center"/>
    </xf>
    <xf numFmtId="0" fontId="7" fillId="0" borderId="0" xfId="0" applyFont="1" applyAlignment="1">
      <alignment horizontal="center" vertical="center" wrapText="1"/>
    </xf>
    <xf numFmtId="171" fontId="7" fillId="0" borderId="0" xfId="1" applyNumberFormat="1" applyFont="1"/>
    <xf numFmtId="0" fontId="7" fillId="0" borderId="0" xfId="0" applyFont="1"/>
    <xf numFmtId="0" fontId="7" fillId="0" borderId="0" xfId="0" applyFont="1" applyAlignment="1">
      <alignment wrapText="1"/>
    </xf>
    <xf numFmtId="168" fontId="36" fillId="0" borderId="0" xfId="0" applyNumberFormat="1" applyFont="1"/>
    <xf numFmtId="0" fontId="7" fillId="0" borderId="0" xfId="0" applyFont="1" applyFill="1"/>
    <xf numFmtId="0" fontId="7" fillId="0" borderId="0" xfId="0" applyFont="1" applyFill="1" applyAlignment="1">
      <alignment horizontal="center" vertical="center" wrapText="1"/>
    </xf>
    <xf numFmtId="0" fontId="7" fillId="0" borderId="0" xfId="0" applyFont="1" applyFill="1" applyAlignment="1">
      <alignment wrapText="1"/>
    </xf>
    <xf numFmtId="0" fontId="7" fillId="6" borderId="0" xfId="0" applyFont="1" applyFill="1"/>
    <xf numFmtId="0" fontId="7" fillId="6" borderId="0" xfId="0" applyFont="1" applyFill="1" applyAlignment="1">
      <alignment horizontal="center" vertical="center" wrapText="1"/>
    </xf>
    <xf numFmtId="0" fontId="13" fillId="6" borderId="0" xfId="0" quotePrefix="1" applyFont="1" applyFill="1" applyBorder="1" applyAlignment="1">
      <alignment vertical="center" wrapText="1"/>
    </xf>
    <xf numFmtId="0" fontId="24" fillId="0" borderId="0" xfId="0" applyFont="1" applyAlignment="1">
      <alignment horizontal="center" vertical="center"/>
    </xf>
    <xf numFmtId="0" fontId="37" fillId="0" borderId="0" xfId="0" applyFont="1" applyAlignment="1">
      <alignment horizontal="center" vertical="center" wrapText="1"/>
    </xf>
    <xf numFmtId="0" fontId="20" fillId="0" borderId="0" xfId="0" quotePrefix="1" applyFont="1" applyBorder="1" applyAlignment="1">
      <alignment vertical="center" wrapText="1"/>
    </xf>
    <xf numFmtId="0" fontId="24" fillId="0" borderId="0" xfId="0" applyFont="1" applyAlignment="1">
      <alignment wrapText="1"/>
    </xf>
    <xf numFmtId="0" fontId="11" fillId="0" borderId="0" xfId="0" quotePrefix="1" applyFont="1" applyBorder="1" applyAlignment="1">
      <alignment vertical="center" wrapText="1"/>
    </xf>
    <xf numFmtId="0" fontId="7" fillId="0" borderId="0" xfId="0" applyFont="1" applyAlignment="1">
      <alignment vertical="center"/>
    </xf>
    <xf numFmtId="0" fontId="13" fillId="0" borderId="0" xfId="0" quotePrefix="1" applyFont="1" applyBorder="1" applyAlignment="1">
      <alignment vertical="center" wrapText="1"/>
    </xf>
    <xf numFmtId="0" fontId="26" fillId="0" borderId="0" xfId="0" applyFont="1"/>
    <xf numFmtId="0" fontId="26" fillId="0" borderId="0" xfId="0" applyFont="1" applyAlignment="1">
      <alignment wrapText="1"/>
    </xf>
    <xf numFmtId="0" fontId="27" fillId="0" borderId="0" xfId="0" quotePrefix="1" applyFont="1" applyBorder="1" applyAlignment="1">
      <alignment vertical="center" wrapText="1"/>
    </xf>
    <xf numFmtId="0" fontId="24" fillId="6" borderId="0" xfId="0" applyFont="1" applyFill="1" applyAlignment="1">
      <alignment wrapText="1"/>
    </xf>
    <xf numFmtId="0" fontId="20" fillId="6" borderId="0" xfId="0" quotePrefix="1" applyFont="1" applyFill="1" applyBorder="1" applyAlignment="1">
      <alignment vertical="center" wrapText="1"/>
    </xf>
    <xf numFmtId="0" fontId="24" fillId="6" borderId="0" xfId="0" applyFont="1" applyFill="1"/>
    <xf numFmtId="0" fontId="2" fillId="0" borderId="1" xfId="0" quotePrefix="1" applyFont="1" applyBorder="1" applyAlignment="1">
      <alignment horizontal="center" vertical="center"/>
    </xf>
    <xf numFmtId="0" fontId="2" fillId="0" borderId="1" xfId="0" applyFont="1" applyBorder="1" applyAlignment="1">
      <alignment horizontal="justify" vertical="center" wrapText="1"/>
    </xf>
    <xf numFmtId="0" fontId="38" fillId="0" borderId="1" xfId="0" applyFont="1" applyBorder="1"/>
    <xf numFmtId="0" fontId="0" fillId="6" borderId="0" xfId="0" applyFill="1" applyAlignment="1">
      <alignment wrapText="1"/>
    </xf>
    <xf numFmtId="0" fontId="2" fillId="6" borderId="1" xfId="0" quotePrefix="1" applyFont="1" applyFill="1" applyBorder="1" applyAlignment="1">
      <alignment horizontal="center" vertical="center"/>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3" fontId="2" fillId="6" borderId="1" xfId="0" applyNumberFormat="1" applyFont="1" applyFill="1" applyBorder="1" applyAlignment="1">
      <alignment vertical="center"/>
    </xf>
    <xf numFmtId="3" fontId="22" fillId="6" borderId="1" xfId="0" applyNumberFormat="1" applyFont="1" applyFill="1" applyBorder="1" applyAlignment="1">
      <alignment vertical="center"/>
    </xf>
    <xf numFmtId="0" fontId="0" fillId="6" borderId="1" xfId="0" applyFill="1" applyBorder="1"/>
    <xf numFmtId="0" fontId="11" fillId="6" borderId="1" xfId="0" applyFont="1" applyFill="1" applyBorder="1" applyAlignment="1">
      <alignment horizontal="justify" vertical="center" wrapText="1"/>
    </xf>
    <xf numFmtId="0" fontId="11" fillId="6" borderId="7" xfId="0" quotePrefix="1" applyFont="1" applyFill="1" applyBorder="1" applyAlignment="1">
      <alignment vertical="center" wrapText="1"/>
    </xf>
    <xf numFmtId="0" fontId="11" fillId="6" borderId="0" xfId="0" quotePrefix="1" applyFont="1" applyFill="1" applyBorder="1" applyAlignment="1">
      <alignment vertical="center" wrapText="1"/>
    </xf>
    <xf numFmtId="0" fontId="0" fillId="6" borderId="0" xfId="0" applyFill="1"/>
    <xf numFmtId="0" fontId="2" fillId="0" borderId="1" xfId="0" applyFont="1" applyBorder="1" applyAlignment="1">
      <alignment horizontal="center" vertical="center"/>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10" fontId="22" fillId="0" borderId="1" xfId="2" applyNumberFormat="1" applyFont="1" applyBorder="1" applyAlignment="1">
      <alignment vertical="center"/>
    </xf>
    <xf numFmtId="0" fontId="0" fillId="4" borderId="1" xfId="0" applyFill="1" applyBorder="1"/>
    <xf numFmtId="0" fontId="0" fillId="4" borderId="0" xfId="0" applyFill="1" applyBorder="1"/>
    <xf numFmtId="0" fontId="39" fillId="0" borderId="1" xfId="0" quotePrefix="1" applyFont="1" applyBorder="1" applyAlignment="1">
      <alignment horizontal="justify" vertical="center" wrapText="1"/>
    </xf>
    <xf numFmtId="171" fontId="10" fillId="0" borderId="1" xfId="1" applyNumberFormat="1" applyFont="1" applyBorder="1"/>
    <xf numFmtId="171" fontId="10" fillId="0" borderId="0" xfId="1" applyNumberFormat="1" applyFont="1" applyBorder="1"/>
    <xf numFmtId="0" fontId="40" fillId="0" borderId="1" xfId="0" quotePrefix="1" applyFont="1" applyBorder="1" applyAlignment="1">
      <alignment horizontal="left" vertical="center" wrapText="1"/>
    </xf>
    <xf numFmtId="171" fontId="10" fillId="0" borderId="0" xfId="1" applyNumberFormat="1" applyFont="1"/>
    <xf numFmtId="3" fontId="12" fillId="8" borderId="1" xfId="0" applyNumberFormat="1" applyFont="1" applyFill="1" applyBorder="1" applyAlignment="1">
      <alignment vertical="center"/>
    </xf>
    <xf numFmtId="3" fontId="3" fillId="8" borderId="1" xfId="0" applyNumberFormat="1" applyFont="1" applyFill="1" applyBorder="1" applyAlignment="1">
      <alignment vertical="center"/>
    </xf>
    <xf numFmtId="3" fontId="14" fillId="8" borderId="1" xfId="0" applyNumberFormat="1" applyFont="1" applyFill="1" applyBorder="1" applyAlignment="1">
      <alignment vertical="center"/>
    </xf>
    <xf numFmtId="3" fontId="12" fillId="8" borderId="3" xfId="0" applyNumberFormat="1" applyFont="1" applyFill="1" applyBorder="1" applyAlignment="1">
      <alignment vertical="center"/>
    </xf>
    <xf numFmtId="4" fontId="3" fillId="8" borderId="1" xfId="0" applyNumberFormat="1" applyFont="1" applyFill="1" applyBorder="1" applyAlignment="1">
      <alignment vertical="center"/>
    </xf>
    <xf numFmtId="43" fontId="12" fillId="8" borderId="1" xfId="1" applyFont="1" applyFill="1" applyBorder="1" applyAlignment="1">
      <alignment vertical="center"/>
    </xf>
    <xf numFmtId="43" fontId="16" fillId="8" borderId="7" xfId="1" quotePrefix="1" applyFont="1" applyFill="1" applyBorder="1" applyAlignment="1">
      <alignment vertical="center" wrapText="1"/>
    </xf>
    <xf numFmtId="0" fontId="5" fillId="0" borderId="1" xfId="0" applyFont="1" applyBorder="1" applyAlignment="1">
      <alignment horizontal="center" vertical="center"/>
    </xf>
    <xf numFmtId="168" fontId="5" fillId="0" borderId="1" xfId="1" applyNumberFormat="1" applyFont="1" applyBorder="1" applyAlignment="1">
      <alignment horizontal="right" vertical="center"/>
    </xf>
    <xf numFmtId="0" fontId="5"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3" fillId="0" borderId="0" xfId="0" applyFont="1" applyAlignment="1">
      <alignment horizontal="center"/>
    </xf>
    <xf numFmtId="0" fontId="2" fillId="0" borderId="0" xfId="0" applyFont="1" applyAlignment="1">
      <alignment horizontal="center"/>
    </xf>
    <xf numFmtId="0" fontId="5" fillId="0" borderId="1" xfId="0" applyFont="1" applyBorder="1" applyAlignment="1">
      <alignment horizontal="justify" vertical="center" wrapText="1"/>
    </xf>
    <xf numFmtId="165" fontId="5" fillId="0" borderId="1" xfId="0" applyNumberFormat="1" applyFont="1" applyBorder="1" applyAlignment="1">
      <alignment horizontal="right" vertical="center"/>
    </xf>
    <xf numFmtId="0" fontId="5" fillId="0" borderId="1" xfId="0" applyFont="1" applyBorder="1" applyAlignment="1">
      <alignment horizontal="right" vertical="center"/>
    </xf>
    <xf numFmtId="165"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9"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13" fillId="4" borderId="10" xfId="0" quotePrefix="1"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3" fillId="5" borderId="10" xfId="0" quotePrefix="1" applyFont="1" applyFill="1" applyBorder="1" applyAlignment="1">
      <alignment horizontal="center" vertical="center" wrapText="1"/>
    </xf>
    <xf numFmtId="0" fontId="11" fillId="7" borderId="11" xfId="0" quotePrefix="1" applyFont="1" applyFill="1" applyBorder="1" applyAlignment="1">
      <alignment horizontal="center" vertical="center" wrapText="1"/>
    </xf>
    <xf numFmtId="0" fontId="11" fillId="7" borderId="0" xfId="0" quotePrefix="1" applyFont="1" applyFill="1" applyBorder="1" applyAlignment="1">
      <alignment horizontal="center" vertical="center" wrapText="1"/>
    </xf>
    <xf numFmtId="0" fontId="13" fillId="7" borderId="10" xfId="0" quotePrefix="1"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XD/3.%20QLVT/NQ/1.%20H&#7891;%20s&#417;%20NQ%20tr&#236;nh/19h00%20260512%20D&#7921;%20to&#225;n%20kinh%20ph&#237;%20ng&#226;n%20s&#225;ch%20NQ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00. Data"/>
      <sheetName val="Bieu 1 Bang tinh full"/>
      <sheetName val="Sheet6"/>
      <sheetName val="Tong hop 11.11"/>
      <sheetName val="Sheet4"/>
      <sheetName val="Sheet5"/>
      <sheetName val="Sheet2 (2)"/>
      <sheetName val="Sheet3"/>
    </sheetNames>
    <sheetDataSet>
      <sheetData sheetId="0" refreshError="1"/>
      <sheetData sheetId="1" refreshError="1"/>
      <sheetData sheetId="2">
        <row r="15">
          <cell r="E15">
            <v>3486763</v>
          </cell>
        </row>
        <row r="24">
          <cell r="E24">
            <v>158116.34999999998</v>
          </cell>
        </row>
        <row r="27">
          <cell r="E27">
            <v>10000</v>
          </cell>
        </row>
        <row r="29">
          <cell r="E29">
            <v>8600</v>
          </cell>
        </row>
        <row r="30">
          <cell r="E30">
            <v>500</v>
          </cell>
        </row>
        <row r="31">
          <cell r="E31">
            <v>11400</v>
          </cell>
        </row>
        <row r="32">
          <cell r="E32">
            <v>23400</v>
          </cell>
        </row>
        <row r="35">
          <cell r="E35">
            <v>66447.675000000003</v>
          </cell>
        </row>
        <row r="41">
          <cell r="E41">
            <v>100000</v>
          </cell>
        </row>
        <row r="47">
          <cell r="E47">
            <v>20000000</v>
          </cell>
        </row>
      </sheetData>
      <sheetData sheetId="3">
        <row r="12">
          <cell r="G12">
            <v>2789410.4000000004</v>
          </cell>
        </row>
      </sheetData>
      <sheetData sheetId="4" refreshError="1"/>
      <sheetData sheetId="5">
        <row r="27">
          <cell r="D27">
            <v>12323.675085764002</v>
          </cell>
          <cell r="E27">
            <v>19271.761901580005</v>
          </cell>
        </row>
      </sheetData>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tabSelected="1" zoomScale="70" zoomScaleNormal="70" workbookViewId="0">
      <selection activeCell="C16" sqref="C16:G16"/>
    </sheetView>
  </sheetViews>
  <sheetFormatPr defaultColWidth="8.875" defaultRowHeight="15.75"/>
  <cols>
    <col min="1" max="1" width="4.75" style="1" bestFit="1" customWidth="1"/>
    <col min="2" max="2" width="60.125" style="1" customWidth="1"/>
    <col min="3" max="3" width="12.125" style="1" bestFit="1" customWidth="1"/>
    <col min="4" max="4" width="12.875" style="1" customWidth="1"/>
    <col min="5" max="6" width="11.875" style="1" customWidth="1"/>
    <col min="7" max="7" width="13.75" style="1" customWidth="1"/>
    <col min="8" max="8" width="15.625" style="2" customWidth="1"/>
    <col min="9" max="9" width="49.625" style="1" customWidth="1"/>
    <col min="10" max="10" width="63.375" style="1" customWidth="1"/>
    <col min="11" max="11" width="32.75" style="1" customWidth="1"/>
    <col min="12" max="16384" width="8.875" style="1"/>
  </cols>
  <sheetData>
    <row r="1" spans="1:11">
      <c r="A1" s="295" t="s">
        <v>34</v>
      </c>
      <c r="B1" s="296"/>
      <c r="C1" s="296"/>
      <c r="D1" s="296"/>
      <c r="E1" s="296"/>
      <c r="F1" s="296"/>
      <c r="G1" s="296"/>
      <c r="H1" s="296"/>
      <c r="I1" s="296"/>
    </row>
    <row r="3" spans="1:11">
      <c r="A3" s="289" t="s">
        <v>0</v>
      </c>
      <c r="B3" s="289" t="s">
        <v>1</v>
      </c>
      <c r="C3" s="289">
        <v>2026</v>
      </c>
      <c r="D3" s="289">
        <v>2027</v>
      </c>
      <c r="E3" s="289">
        <v>2028</v>
      </c>
      <c r="F3" s="289">
        <v>2029</v>
      </c>
      <c r="G3" s="289">
        <v>2030</v>
      </c>
      <c r="H3" s="290" t="s">
        <v>25</v>
      </c>
      <c r="I3" s="289" t="s">
        <v>2</v>
      </c>
      <c r="J3" s="27"/>
      <c r="K3" s="27"/>
    </row>
    <row r="4" spans="1:11">
      <c r="A4" s="289"/>
      <c r="B4" s="289"/>
      <c r="C4" s="289"/>
      <c r="D4" s="289"/>
      <c r="E4" s="289"/>
      <c r="F4" s="289"/>
      <c r="G4" s="289"/>
      <c r="H4" s="290"/>
      <c r="I4" s="289"/>
      <c r="J4" s="27"/>
      <c r="K4" s="27"/>
    </row>
    <row r="5" spans="1:11" hidden="1">
      <c r="A5" s="21"/>
      <c r="B5" s="21"/>
      <c r="C5" s="5">
        <f>C7+C10+C14+C25</f>
        <v>2299.88</v>
      </c>
      <c r="D5" s="5">
        <f>D7+D10+D14+D25</f>
        <v>7845.579999999999</v>
      </c>
      <c r="E5" s="5">
        <f>E7+E10+E14+E25</f>
        <v>5707.66</v>
      </c>
      <c r="F5" s="5">
        <f>F7+F10+F14+F25</f>
        <v>3220.52</v>
      </c>
      <c r="G5" s="5">
        <f>G7+G10+G14+G25</f>
        <v>326.95999999999998</v>
      </c>
      <c r="H5" s="28"/>
      <c r="I5" s="21"/>
      <c r="J5" s="27"/>
      <c r="K5" s="27"/>
    </row>
    <row r="6" spans="1:11" s="24" customFormat="1">
      <c r="A6" s="21">
        <v>1</v>
      </c>
      <c r="B6" s="3" t="s">
        <v>45</v>
      </c>
      <c r="C6" s="28">
        <f t="shared" ref="C6:G6" si="0">C7+C8</f>
        <v>2090.98</v>
      </c>
      <c r="D6" s="28">
        <f t="shared" si="0"/>
        <v>6707.98</v>
      </c>
      <c r="E6" s="28">
        <f t="shared" si="0"/>
        <v>5023.8999999999996</v>
      </c>
      <c r="F6" s="28">
        <f t="shared" si="0"/>
        <v>3059.1400000000003</v>
      </c>
      <c r="G6" s="28">
        <f t="shared" si="0"/>
        <v>0</v>
      </c>
      <c r="H6" s="28">
        <f>H7+H8</f>
        <v>16882</v>
      </c>
      <c r="I6" s="21"/>
      <c r="J6" s="29"/>
      <c r="K6" s="29"/>
    </row>
    <row r="7" spans="1:11" ht="157.5">
      <c r="A7" s="289" t="s">
        <v>3</v>
      </c>
      <c r="B7" s="9" t="s">
        <v>46</v>
      </c>
      <c r="C7" s="30">
        <f>2026.08*H7/K7</f>
        <v>1684.08</v>
      </c>
      <c r="D7" s="30">
        <f>7091.28*H7/K7</f>
        <v>5894.28</v>
      </c>
      <c r="E7" s="30">
        <f>5065.2*H7/K7</f>
        <v>4210.2</v>
      </c>
      <c r="F7" s="30">
        <f>2701.44*H7/K7</f>
        <v>2245.44</v>
      </c>
      <c r="G7" s="30">
        <v>0</v>
      </c>
      <c r="H7" s="4">
        <v>14034</v>
      </c>
      <c r="I7" s="31" t="s">
        <v>47</v>
      </c>
      <c r="J7" s="32" t="s">
        <v>35</v>
      </c>
      <c r="K7" s="33">
        <v>16884</v>
      </c>
    </row>
    <row r="8" spans="1:11" ht="31.5">
      <c r="A8" s="289"/>
      <c r="B8" s="34" t="s">
        <v>41</v>
      </c>
      <c r="C8" s="35">
        <v>406.9</v>
      </c>
      <c r="D8" s="35">
        <v>813.7</v>
      </c>
      <c r="E8" s="35">
        <f>D8</f>
        <v>813.7</v>
      </c>
      <c r="F8" s="35">
        <f>E8</f>
        <v>813.7</v>
      </c>
      <c r="G8" s="35">
        <v>0</v>
      </c>
      <c r="H8" s="4">
        <v>2848</v>
      </c>
      <c r="I8" s="23" t="s">
        <v>42</v>
      </c>
      <c r="J8" s="27"/>
      <c r="K8" s="36">
        <f>H8/7</f>
        <v>406.85714285714283</v>
      </c>
    </row>
    <row r="9" spans="1:11">
      <c r="A9" s="289">
        <v>2</v>
      </c>
      <c r="B9" s="3" t="s">
        <v>22</v>
      </c>
      <c r="C9" s="3">
        <f>+C12</f>
        <v>76.399999999999963</v>
      </c>
      <c r="D9" s="3">
        <f t="shared" ref="D9:G9" si="1">+D12</f>
        <v>229.2</v>
      </c>
      <c r="E9" s="3">
        <f t="shared" si="1"/>
        <v>229.2</v>
      </c>
      <c r="F9" s="3">
        <f t="shared" si="1"/>
        <v>152.80000000000001</v>
      </c>
      <c r="G9" s="3">
        <f t="shared" si="1"/>
        <v>76.400000000000006</v>
      </c>
      <c r="H9" s="4">
        <f>+C9+D9+E9+F9+G9</f>
        <v>763.99999999999989</v>
      </c>
      <c r="I9" s="291"/>
      <c r="J9" s="27"/>
      <c r="K9" s="27"/>
    </row>
    <row r="10" spans="1:11" hidden="1">
      <c r="A10" s="289"/>
      <c r="B10" s="3" t="s">
        <v>4</v>
      </c>
      <c r="C10" s="5">
        <f>C11+C12</f>
        <v>76.399999999999963</v>
      </c>
      <c r="D10" s="5">
        <f>D11+D12</f>
        <v>229.2</v>
      </c>
      <c r="E10" s="5">
        <f>E11+E12</f>
        <v>229.2</v>
      </c>
      <c r="F10" s="5">
        <f>F11+F12</f>
        <v>152.80000000000001</v>
      </c>
      <c r="G10" s="5">
        <f>G11+G12</f>
        <v>76.400000000000006</v>
      </c>
      <c r="H10" s="6"/>
      <c r="I10" s="291"/>
      <c r="J10" s="27"/>
      <c r="K10" s="27"/>
    </row>
    <row r="11" spans="1:11" ht="94.5" hidden="1">
      <c r="A11" s="20" t="s">
        <v>5</v>
      </c>
      <c r="B11" s="23" t="s">
        <v>6</v>
      </c>
      <c r="C11" s="7">
        <f>0*50.64</f>
        <v>0</v>
      </c>
      <c r="D11" s="7">
        <f>0*177.24</f>
        <v>0</v>
      </c>
      <c r="E11" s="7">
        <f>0*126.6</f>
        <v>0</v>
      </c>
      <c r="F11" s="7">
        <f>0*67.52</f>
        <v>0</v>
      </c>
      <c r="G11" s="7">
        <v>0</v>
      </c>
      <c r="H11" s="8">
        <f>+C11+D11+E11+F11+G11</f>
        <v>0</v>
      </c>
      <c r="I11" s="23" t="s">
        <v>7</v>
      </c>
      <c r="J11" s="27"/>
      <c r="K11" s="27"/>
    </row>
    <row r="12" spans="1:11" ht="378">
      <c r="A12" s="20">
        <v>1</v>
      </c>
      <c r="B12" s="23" t="s">
        <v>8</v>
      </c>
      <c r="C12" s="23">
        <v>76.399999999999963</v>
      </c>
      <c r="D12" s="23">
        <v>229.2</v>
      </c>
      <c r="E12" s="23">
        <v>229.2</v>
      </c>
      <c r="F12" s="23">
        <v>152.80000000000001</v>
      </c>
      <c r="G12" s="23">
        <v>76.400000000000006</v>
      </c>
      <c r="H12" s="8">
        <f>+C12+D12+E12+F12+G12</f>
        <v>763.99999999999989</v>
      </c>
      <c r="I12" s="9" t="s">
        <v>9</v>
      </c>
      <c r="J12" s="37" t="s">
        <v>36</v>
      </c>
      <c r="K12" s="27">
        <v>3359147</v>
      </c>
    </row>
    <row r="13" spans="1:11">
      <c r="A13" s="289">
        <v>3</v>
      </c>
      <c r="B13" s="3" t="s">
        <v>23</v>
      </c>
      <c r="C13" s="10">
        <f>C15+C18+C19</f>
        <v>472.6</v>
      </c>
      <c r="D13" s="10">
        <f t="shared" ref="D13:G13" si="2">D15+D18+D19</f>
        <v>1454.9</v>
      </c>
      <c r="E13" s="10">
        <f t="shared" si="2"/>
        <v>1101.26</v>
      </c>
      <c r="F13" s="10">
        <f t="shared" si="2"/>
        <v>688.68</v>
      </c>
      <c r="G13" s="10">
        <f t="shared" si="2"/>
        <v>217.16</v>
      </c>
      <c r="H13" s="4">
        <f>H15+H18+H19</f>
        <v>3934.6</v>
      </c>
      <c r="I13" s="291"/>
      <c r="J13" s="27"/>
      <c r="K13" s="27"/>
    </row>
    <row r="14" spans="1:11" hidden="1">
      <c r="A14" s="289"/>
      <c r="B14" s="3" t="s">
        <v>10</v>
      </c>
      <c r="C14" s="11">
        <f>C15+C18+C19</f>
        <v>472.6</v>
      </c>
      <c r="D14" s="11">
        <f>D15+D18+D19</f>
        <v>1454.9</v>
      </c>
      <c r="E14" s="11">
        <f>E15+E18+E19</f>
        <v>1101.26</v>
      </c>
      <c r="F14" s="11">
        <f>F15+F18+F19</f>
        <v>688.68</v>
      </c>
      <c r="G14" s="11">
        <f>G15+G18+G19</f>
        <v>217.16</v>
      </c>
      <c r="H14" s="6"/>
      <c r="I14" s="291"/>
      <c r="J14" s="27"/>
      <c r="K14" s="27"/>
    </row>
    <row r="15" spans="1:11" ht="31.5">
      <c r="A15" s="286" t="s">
        <v>26</v>
      </c>
      <c r="B15" s="23" t="s">
        <v>11</v>
      </c>
      <c r="C15" s="12">
        <f>C16+C17</f>
        <v>106</v>
      </c>
      <c r="D15" s="12">
        <f t="shared" ref="D15:G15" si="3">D16+D17</f>
        <v>188</v>
      </c>
      <c r="E15" s="12">
        <f t="shared" si="3"/>
        <v>188</v>
      </c>
      <c r="F15" s="12">
        <f t="shared" si="3"/>
        <v>188</v>
      </c>
      <c r="G15" s="12">
        <f t="shared" si="3"/>
        <v>188</v>
      </c>
      <c r="H15" s="287">
        <f>C15+D15+E15+F15+G15</f>
        <v>858</v>
      </c>
      <c r="I15" s="23"/>
      <c r="J15" s="27"/>
      <c r="K15" s="27">
        <v>3486763</v>
      </c>
    </row>
    <row r="16" spans="1:11" ht="102" customHeight="1">
      <c r="A16" s="286"/>
      <c r="B16" s="23" t="s">
        <v>12</v>
      </c>
      <c r="C16" s="12">
        <v>85</v>
      </c>
      <c r="D16" s="12">
        <v>167</v>
      </c>
      <c r="E16" s="12">
        <v>167</v>
      </c>
      <c r="F16" s="12">
        <v>167</v>
      </c>
      <c r="G16" s="12">
        <v>167</v>
      </c>
      <c r="H16" s="287"/>
      <c r="I16" s="23"/>
      <c r="J16" s="27"/>
      <c r="K16" s="27">
        <f>K12/K15</f>
        <v>0.96339986399993349</v>
      </c>
    </row>
    <row r="17" spans="1:13" ht="31.5">
      <c r="A17" s="286"/>
      <c r="B17" s="23" t="s">
        <v>13</v>
      </c>
      <c r="C17" s="12">
        <v>21</v>
      </c>
      <c r="D17" s="12">
        <f>C17</f>
        <v>21</v>
      </c>
      <c r="E17" s="12">
        <v>21</v>
      </c>
      <c r="F17" s="12">
        <v>21</v>
      </c>
      <c r="G17" s="12">
        <v>21</v>
      </c>
      <c r="H17" s="287"/>
      <c r="I17" s="9" t="s">
        <v>37</v>
      </c>
      <c r="J17" s="27"/>
      <c r="K17" s="27"/>
    </row>
    <row r="18" spans="1:13" ht="63">
      <c r="A18" s="20" t="s">
        <v>27</v>
      </c>
      <c r="B18" s="17" t="s">
        <v>14</v>
      </c>
      <c r="C18" s="25">
        <f>H18*0.12</f>
        <v>353.64</v>
      </c>
      <c r="D18" s="25">
        <f>H18*0.42</f>
        <v>1237.74</v>
      </c>
      <c r="E18" s="25">
        <f>H18*0.3</f>
        <v>884.1</v>
      </c>
      <c r="F18" s="25">
        <f>H18*0.16</f>
        <v>471.52</v>
      </c>
      <c r="G18" s="25">
        <v>0</v>
      </c>
      <c r="H18" s="8">
        <v>2947</v>
      </c>
      <c r="I18" s="18" t="s">
        <v>44</v>
      </c>
      <c r="J18" s="32" t="s">
        <v>40</v>
      </c>
      <c r="K18" s="27"/>
      <c r="M18" s="1">
        <f>2099+848</f>
        <v>2947</v>
      </c>
    </row>
    <row r="19" spans="1:13" ht="42.6" customHeight="1">
      <c r="A19" s="286" t="s">
        <v>31</v>
      </c>
      <c r="B19" s="297" t="s">
        <v>15</v>
      </c>
      <c r="C19" s="300">
        <v>12.960000000000008</v>
      </c>
      <c r="D19" s="300">
        <v>29.16</v>
      </c>
      <c r="E19" s="300">
        <v>29.16</v>
      </c>
      <c r="F19" s="300">
        <v>29.16</v>
      </c>
      <c r="G19" s="300">
        <v>29.16</v>
      </c>
      <c r="H19" s="298">
        <f>+C19+D19+E19+F19+G19</f>
        <v>129.6</v>
      </c>
      <c r="I19" s="301" t="s">
        <v>38</v>
      </c>
      <c r="J19" s="292" t="s">
        <v>39</v>
      </c>
      <c r="K19" s="27"/>
    </row>
    <row r="20" spans="1:13" ht="42.6" customHeight="1">
      <c r="A20" s="286"/>
      <c r="B20" s="297"/>
      <c r="C20" s="300"/>
      <c r="D20" s="300"/>
      <c r="E20" s="300"/>
      <c r="F20" s="300"/>
      <c r="G20" s="300"/>
      <c r="H20" s="299"/>
      <c r="I20" s="301"/>
      <c r="J20" s="293"/>
      <c r="K20" s="27"/>
    </row>
    <row r="21" spans="1:13" ht="42.6" customHeight="1">
      <c r="A21" s="286"/>
      <c r="B21" s="297"/>
      <c r="C21" s="300"/>
      <c r="D21" s="300"/>
      <c r="E21" s="300"/>
      <c r="F21" s="300"/>
      <c r="G21" s="300"/>
      <c r="H21" s="299"/>
      <c r="I21" s="301"/>
      <c r="J21" s="293"/>
      <c r="K21" s="27"/>
    </row>
    <row r="22" spans="1:13" ht="42.6" customHeight="1">
      <c r="A22" s="286"/>
      <c r="B22" s="297"/>
      <c r="C22" s="300"/>
      <c r="D22" s="300"/>
      <c r="E22" s="300"/>
      <c r="F22" s="300"/>
      <c r="G22" s="300"/>
      <c r="H22" s="299"/>
      <c r="I22" s="301"/>
      <c r="J22" s="293"/>
      <c r="K22" s="27"/>
    </row>
    <row r="23" spans="1:13" ht="42.6" customHeight="1">
      <c r="A23" s="286"/>
      <c r="B23" s="297"/>
      <c r="C23" s="300"/>
      <c r="D23" s="300"/>
      <c r="E23" s="300"/>
      <c r="F23" s="300"/>
      <c r="G23" s="300"/>
      <c r="H23" s="299"/>
      <c r="I23" s="301"/>
      <c r="J23" s="294"/>
      <c r="K23" s="27"/>
    </row>
    <row r="24" spans="1:13" ht="31.5">
      <c r="A24" s="289">
        <v>4</v>
      </c>
      <c r="B24" s="3" t="s">
        <v>33</v>
      </c>
      <c r="C24" s="13">
        <f>C26+C27</f>
        <v>66.799999999999983</v>
      </c>
      <c r="D24" s="13">
        <f t="shared" ref="D24:G24" si="4">D26+D27</f>
        <v>267.2</v>
      </c>
      <c r="E24" s="13">
        <f t="shared" si="4"/>
        <v>167</v>
      </c>
      <c r="F24" s="13">
        <f t="shared" si="4"/>
        <v>133.6</v>
      </c>
      <c r="G24" s="13">
        <f t="shared" si="4"/>
        <v>33.4</v>
      </c>
      <c r="H24" s="14">
        <f>+C24+D24+E24+F24+G24</f>
        <v>668</v>
      </c>
      <c r="I24" s="289" t="s">
        <v>32</v>
      </c>
      <c r="J24" s="27"/>
      <c r="K24" s="27"/>
    </row>
    <row r="25" spans="1:13" ht="31.5" hidden="1" customHeight="1">
      <c r="A25" s="289"/>
      <c r="B25" s="3" t="s">
        <v>16</v>
      </c>
      <c r="C25" s="15">
        <f>C26+C27+C28</f>
        <v>66.799999999999983</v>
      </c>
      <c r="D25" s="15">
        <f t="shared" ref="D25:G25" si="5">D26+D27+D28</f>
        <v>267.2</v>
      </c>
      <c r="E25" s="15">
        <f t="shared" si="5"/>
        <v>167</v>
      </c>
      <c r="F25" s="15">
        <f t="shared" si="5"/>
        <v>133.6</v>
      </c>
      <c r="G25" s="15">
        <f t="shared" si="5"/>
        <v>33.4</v>
      </c>
      <c r="H25" s="6"/>
      <c r="I25" s="289"/>
      <c r="J25" s="27"/>
      <c r="K25" s="27"/>
    </row>
    <row r="26" spans="1:13" ht="78.75">
      <c r="A26" s="20" t="s">
        <v>28</v>
      </c>
      <c r="B26" s="23" t="s">
        <v>17</v>
      </c>
      <c r="C26" s="7">
        <v>26.29999999999999</v>
      </c>
      <c r="D26" s="7">
        <v>105.2</v>
      </c>
      <c r="E26" s="7">
        <v>65.75</v>
      </c>
      <c r="F26" s="7">
        <v>52.6</v>
      </c>
      <c r="G26" s="7">
        <v>13.15</v>
      </c>
      <c r="H26" s="19">
        <f>SUM(C26:G26)</f>
        <v>263</v>
      </c>
      <c r="I26" s="26"/>
      <c r="J26" s="27">
        <f>2099+848</f>
        <v>2947</v>
      </c>
      <c r="K26" s="27"/>
    </row>
    <row r="27" spans="1:13" ht="31.5">
      <c r="A27" s="20" t="s">
        <v>30</v>
      </c>
      <c r="B27" s="23" t="s">
        <v>24</v>
      </c>
      <c r="C27" s="7">
        <v>40.499999999999986</v>
      </c>
      <c r="D27" s="7">
        <v>162</v>
      </c>
      <c r="E27" s="7">
        <v>101.25</v>
      </c>
      <c r="F27" s="7">
        <v>81</v>
      </c>
      <c r="G27" s="7">
        <v>20.25</v>
      </c>
      <c r="H27" s="19">
        <f>SUM(C27:G27)</f>
        <v>405</v>
      </c>
      <c r="I27" s="26"/>
      <c r="J27" s="27"/>
      <c r="K27" s="27"/>
    </row>
    <row r="28" spans="1:13" ht="47.25" hidden="1">
      <c r="A28" s="286" t="s">
        <v>29</v>
      </c>
      <c r="B28" s="23" t="s">
        <v>18</v>
      </c>
      <c r="C28" s="7">
        <v>0</v>
      </c>
      <c r="D28" s="7">
        <v>0</v>
      </c>
      <c r="E28" s="7">
        <v>0</v>
      </c>
      <c r="F28" s="7">
        <v>0</v>
      </c>
      <c r="G28" s="7">
        <v>0</v>
      </c>
      <c r="H28" s="26">
        <v>0</v>
      </c>
      <c r="I28" s="288"/>
      <c r="J28" s="38" t="s">
        <v>43</v>
      </c>
      <c r="K28" s="27"/>
    </row>
    <row r="29" spans="1:13" ht="63" hidden="1">
      <c r="A29" s="286"/>
      <c r="B29" s="23" t="s">
        <v>19</v>
      </c>
      <c r="C29" s="23"/>
      <c r="D29" s="23"/>
      <c r="E29" s="23"/>
      <c r="F29" s="23"/>
      <c r="G29" s="23"/>
      <c r="H29" s="26"/>
      <c r="I29" s="288"/>
      <c r="J29" s="27"/>
      <c r="K29" s="27"/>
    </row>
    <row r="30" spans="1:13" ht="47.25" hidden="1">
      <c r="A30" s="286"/>
      <c r="B30" s="23" t="s">
        <v>20</v>
      </c>
      <c r="C30" s="23"/>
      <c r="D30" s="23"/>
      <c r="E30" s="23"/>
      <c r="F30" s="23"/>
      <c r="G30" s="23"/>
      <c r="H30" s="26"/>
      <c r="I30" s="288"/>
      <c r="J30" s="27"/>
      <c r="K30" s="27"/>
    </row>
    <row r="31" spans="1:13">
      <c r="A31" s="21"/>
      <c r="B31" s="22" t="s">
        <v>21</v>
      </c>
      <c r="C31" s="16">
        <f t="shared" ref="C31:G31" si="6">+C24+C13+C9+C6</f>
        <v>2706.7799999999997</v>
      </c>
      <c r="D31" s="16">
        <f t="shared" si="6"/>
        <v>8659.2799999999988</v>
      </c>
      <c r="E31" s="16">
        <f t="shared" si="6"/>
        <v>6521.36</v>
      </c>
      <c r="F31" s="16">
        <f t="shared" si="6"/>
        <v>4034.2200000000003</v>
      </c>
      <c r="G31" s="16">
        <f t="shared" si="6"/>
        <v>326.96000000000004</v>
      </c>
      <c r="H31" s="16">
        <f>+H24+H13+H9+H6</f>
        <v>22248.6</v>
      </c>
      <c r="I31" s="22"/>
      <c r="J31" s="27"/>
      <c r="K31" s="27"/>
    </row>
  </sheetData>
  <mergeCells count="31">
    <mergeCell ref="J19:J23"/>
    <mergeCell ref="A7:A8"/>
    <mergeCell ref="A1:I1"/>
    <mergeCell ref="I24:I25"/>
    <mergeCell ref="A19:A23"/>
    <mergeCell ref="B19:B23"/>
    <mergeCell ref="H19:H23"/>
    <mergeCell ref="A24:A25"/>
    <mergeCell ref="C19:C23"/>
    <mergeCell ref="D19:D23"/>
    <mergeCell ref="E19:E23"/>
    <mergeCell ref="F19:F23"/>
    <mergeCell ref="G19:G23"/>
    <mergeCell ref="I19:I23"/>
    <mergeCell ref="A13:A14"/>
    <mergeCell ref="I13:I14"/>
    <mergeCell ref="A15:A17"/>
    <mergeCell ref="H15:H17"/>
    <mergeCell ref="I28:I30"/>
    <mergeCell ref="A28:A30"/>
    <mergeCell ref="A3:A4"/>
    <mergeCell ref="B3:B4"/>
    <mergeCell ref="I3:I4"/>
    <mergeCell ref="C3:C4"/>
    <mergeCell ref="D3:D4"/>
    <mergeCell ref="E3:E4"/>
    <mergeCell ref="F3:F4"/>
    <mergeCell ref="G3:G4"/>
    <mergeCell ref="H3:H4"/>
    <mergeCell ref="A9:A10"/>
    <mergeCell ref="I9:I10"/>
  </mergeCells>
  <pageMargins left="0.25" right="0.25" top="0.75" bottom="0.75" header="0.3" footer="0.3"/>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1"/>
  <sheetViews>
    <sheetView workbookViewId="0">
      <selection activeCell="I10" sqref="I10"/>
    </sheetView>
  </sheetViews>
  <sheetFormatPr defaultRowHeight="14.25"/>
  <cols>
    <col min="2" max="2" width="25.5" style="224" customWidth="1"/>
    <col min="3" max="3" width="7.75" customWidth="1"/>
    <col min="4" max="4" width="34.375" bestFit="1" customWidth="1"/>
    <col min="5" max="5" width="10.125" bestFit="1" customWidth="1"/>
    <col min="6" max="6" width="11.625" hidden="1" customWidth="1"/>
    <col min="7" max="7" width="16.5" bestFit="1" customWidth="1"/>
    <col min="8" max="8" width="12.125" hidden="1" customWidth="1"/>
    <col min="9" max="9" width="38.625" bestFit="1" customWidth="1"/>
    <col min="10" max="11" width="39.375" customWidth="1"/>
    <col min="12" max="12" width="30.375" hidden="1" customWidth="1"/>
    <col min="13" max="13" width="9.875" hidden="1" customWidth="1"/>
  </cols>
  <sheetData>
    <row r="1" spans="1:13" ht="24.6" customHeight="1">
      <c r="C1" s="302" t="s">
        <v>48</v>
      </c>
      <c r="D1" s="302"/>
      <c r="E1" s="302"/>
      <c r="F1" s="302"/>
      <c r="G1" s="302"/>
      <c r="H1" s="302"/>
      <c r="I1" s="302"/>
    </row>
    <row r="3" spans="1:13">
      <c r="F3" s="39"/>
      <c r="G3" s="40" t="s">
        <v>49</v>
      </c>
    </row>
    <row r="4" spans="1:13" ht="15.75">
      <c r="A4" s="225"/>
      <c r="B4" s="226"/>
      <c r="C4" s="303" t="s">
        <v>50</v>
      </c>
      <c r="D4" s="303" t="s">
        <v>51</v>
      </c>
      <c r="E4" s="304" t="s">
        <v>52</v>
      </c>
      <c r="F4" s="305" t="s">
        <v>53</v>
      </c>
      <c r="G4" s="306"/>
      <c r="H4" s="307"/>
      <c r="I4" s="303" t="s">
        <v>2</v>
      </c>
      <c r="J4" s="309" t="s">
        <v>54</v>
      </c>
      <c r="K4" s="227"/>
    </row>
    <row r="5" spans="1:13" ht="15.75">
      <c r="A5" s="225" t="s">
        <v>205</v>
      </c>
      <c r="B5" s="226"/>
      <c r="C5" s="303"/>
      <c r="D5" s="303"/>
      <c r="E5" s="304"/>
      <c r="F5" s="41" t="s">
        <v>55</v>
      </c>
      <c r="G5" s="41"/>
      <c r="H5" s="41" t="s">
        <v>56</v>
      </c>
      <c r="I5" s="303"/>
      <c r="J5" s="310"/>
      <c r="K5" s="227"/>
    </row>
    <row r="6" spans="1:13" ht="15.75">
      <c r="A6" s="225" t="s">
        <v>206</v>
      </c>
      <c r="B6" s="226"/>
      <c r="C6" s="42" t="s">
        <v>57</v>
      </c>
      <c r="D6" s="43" t="s">
        <v>58</v>
      </c>
      <c r="E6" s="43"/>
      <c r="F6" s="44">
        <f>F7+F66+F43+F100+F130</f>
        <v>12323.680085763999</v>
      </c>
      <c r="G6" s="44">
        <f>G7+G66+G43+G76+G100+G130</f>
        <v>22248.047272580003</v>
      </c>
      <c r="H6" s="45"/>
      <c r="I6" s="46"/>
      <c r="J6" s="47"/>
      <c r="K6" s="228"/>
    </row>
    <row r="7" spans="1:13" ht="31.5">
      <c r="A7" s="225"/>
      <c r="B7" s="226"/>
      <c r="C7" s="41" t="s">
        <v>59</v>
      </c>
      <c r="D7" s="48" t="s">
        <v>60</v>
      </c>
      <c r="E7" s="43"/>
      <c r="F7" s="49">
        <f>F8+F76+F13+F17+F26+F33</f>
        <v>10609.625085763999</v>
      </c>
      <c r="G7" s="283">
        <f>G8+G13</f>
        <v>16882.209093400004</v>
      </c>
      <c r="H7" s="50"/>
      <c r="I7" s="46"/>
      <c r="J7" s="47"/>
      <c r="K7" s="228"/>
      <c r="L7" s="39">
        <f>F6</f>
        <v>12323.680085763999</v>
      </c>
      <c r="M7" s="39">
        <f>G6</f>
        <v>22248.047272580003</v>
      </c>
    </row>
    <row r="8" spans="1:13" s="232" customFormat="1" ht="113.25" customHeight="1">
      <c r="A8" s="229" t="s">
        <v>206</v>
      </c>
      <c r="B8" s="230" t="s">
        <v>207</v>
      </c>
      <c r="C8" s="51" t="s">
        <v>61</v>
      </c>
      <c r="D8" s="52" t="s">
        <v>62</v>
      </c>
      <c r="E8" s="53" t="s">
        <v>63</v>
      </c>
      <c r="F8" s="54">
        <f>((F12*0.43%*15000000)+(F12*49.785%*3000000)+(F12*49.785%*3000000))/10^9</f>
        <v>8512.1647766400001</v>
      </c>
      <c r="G8" s="284">
        <f>((G12*0.31%*15000000)+(G12*99.69%*5000000))/10^9</f>
        <v>14033.523722400005</v>
      </c>
      <c r="H8" s="54"/>
      <c r="I8" s="55" t="s">
        <v>64</v>
      </c>
      <c r="J8" s="56" t="s">
        <v>65</v>
      </c>
      <c r="K8" s="311" t="s">
        <v>208</v>
      </c>
      <c r="L8" s="231">
        <f>'[1]Tong hop 11.11'!D27</f>
        <v>12323.675085764002</v>
      </c>
      <c r="M8" s="231">
        <f>'[1]Tong hop 11.11'!E27</f>
        <v>19271.761901580005</v>
      </c>
    </row>
    <row r="9" spans="1:13" s="232" customFormat="1" ht="15.75" hidden="1">
      <c r="B9" s="233"/>
      <c r="C9" s="57"/>
      <c r="D9" s="58" t="s">
        <v>66</v>
      </c>
      <c r="E9" s="58"/>
      <c r="F9" s="59"/>
      <c r="G9" s="59"/>
      <c r="H9" s="59"/>
      <c r="I9" s="60"/>
      <c r="J9" s="56"/>
      <c r="K9" s="311"/>
      <c r="L9" s="234">
        <f>L7-L8</f>
        <v>4.9999999973806553E-3</v>
      </c>
      <c r="M9" s="234">
        <f>M7-M8</f>
        <v>2976.2853709999981</v>
      </c>
    </row>
    <row r="10" spans="1:13" s="232" customFormat="1" ht="31.5">
      <c r="B10" s="233"/>
      <c r="C10" s="57"/>
      <c r="D10" s="61" t="s">
        <v>67</v>
      </c>
      <c r="E10" s="62" t="s">
        <v>68</v>
      </c>
      <c r="F10" s="63">
        <f>'[1]00. Data'!E15</f>
        <v>3486763</v>
      </c>
      <c r="G10" s="63">
        <f>$F$10</f>
        <v>3486763</v>
      </c>
      <c r="H10" s="64"/>
      <c r="I10" s="60" t="s">
        <v>69</v>
      </c>
      <c r="J10" s="56"/>
      <c r="K10" s="311"/>
    </row>
    <row r="11" spans="1:13" s="232" customFormat="1" ht="15.75">
      <c r="B11" s="233"/>
      <c r="C11" s="57"/>
      <c r="D11" s="61" t="s">
        <v>70</v>
      </c>
      <c r="E11" s="62" t="s">
        <v>71</v>
      </c>
      <c r="F11" s="65">
        <v>0.8</v>
      </c>
      <c r="G11" s="66">
        <v>0.8</v>
      </c>
      <c r="H11" s="66"/>
      <c r="I11" s="60"/>
      <c r="J11" s="56"/>
      <c r="K11" s="311"/>
    </row>
    <row r="12" spans="1:13" s="232" customFormat="1" ht="15.75">
      <c r="B12" s="233"/>
      <c r="C12" s="57"/>
      <c r="D12" s="61" t="s">
        <v>72</v>
      </c>
      <c r="E12" s="62" t="s">
        <v>68</v>
      </c>
      <c r="F12" s="63">
        <f>F10*F11</f>
        <v>2789410.4000000004</v>
      </c>
      <c r="G12" s="63">
        <f>G10*G11</f>
        <v>2789410.4000000004</v>
      </c>
      <c r="H12" s="63"/>
      <c r="I12" s="60"/>
      <c r="J12" s="56"/>
      <c r="K12" s="311"/>
    </row>
    <row r="13" spans="1:13" s="235" customFormat="1" ht="42.75" customHeight="1">
      <c r="B13" s="236" t="s">
        <v>209</v>
      </c>
      <c r="C13" s="67" t="s">
        <v>73</v>
      </c>
      <c r="D13" s="67" t="s">
        <v>41</v>
      </c>
      <c r="E13" s="67" t="s">
        <v>63</v>
      </c>
      <c r="F13" s="67">
        <f>+F15/10^9</f>
        <v>5.0000000000000001E-3</v>
      </c>
      <c r="G13" s="285">
        <f>G14*G15/10^9</f>
        <v>2848.6853709999996</v>
      </c>
      <c r="H13" s="67"/>
      <c r="I13" s="67"/>
      <c r="J13" s="67"/>
      <c r="K13" s="311"/>
    </row>
    <row r="14" spans="1:13" s="235" customFormat="1" ht="42.75" customHeight="1">
      <c r="B14" s="236"/>
      <c r="C14" s="56"/>
      <c r="D14" s="56" t="s">
        <v>74</v>
      </c>
      <c r="E14" s="56"/>
      <c r="F14" s="56"/>
      <c r="G14" s="56">
        <f>G10*0.1634</f>
        <v>569737.07419999992</v>
      </c>
      <c r="H14" s="56"/>
      <c r="I14" s="56"/>
      <c r="J14" s="56"/>
      <c r="K14" s="311"/>
    </row>
    <row r="15" spans="1:13" s="235" customFormat="1" ht="60">
      <c r="B15" s="237"/>
      <c r="C15" s="56"/>
      <c r="D15" s="56" t="s">
        <v>75</v>
      </c>
      <c r="E15" s="56" t="s">
        <v>76</v>
      </c>
      <c r="F15" s="56">
        <v>5000000</v>
      </c>
      <c r="G15" s="56">
        <v>5000000</v>
      </c>
      <c r="H15" s="56"/>
      <c r="I15" s="56" t="s">
        <v>77</v>
      </c>
      <c r="J15" s="56"/>
      <c r="K15" s="311"/>
    </row>
    <row r="16" spans="1:13" s="238" customFormat="1" ht="105" hidden="1">
      <c r="B16" s="239" t="s">
        <v>210</v>
      </c>
      <c r="C16" s="68" t="s">
        <v>78</v>
      </c>
      <c r="D16" s="69" t="s">
        <v>79</v>
      </c>
      <c r="E16" s="68" t="s">
        <v>63</v>
      </c>
      <c r="F16" s="70">
        <v>0</v>
      </c>
      <c r="G16" s="70">
        <v>0</v>
      </c>
      <c r="H16" s="71"/>
      <c r="I16" s="72" t="s">
        <v>80</v>
      </c>
      <c r="J16" s="73"/>
      <c r="K16" s="240"/>
    </row>
    <row r="17" spans="1:12" s="176" customFormat="1" ht="47.25">
      <c r="A17" s="241" t="s">
        <v>206</v>
      </c>
      <c r="B17" s="242"/>
      <c r="C17" s="74" t="s">
        <v>81</v>
      </c>
      <c r="D17" s="75" t="s">
        <v>82</v>
      </c>
      <c r="E17" s="76" t="s">
        <v>63</v>
      </c>
      <c r="F17" s="77">
        <v>0</v>
      </c>
      <c r="G17" s="77">
        <v>0</v>
      </c>
      <c r="H17" s="77"/>
      <c r="I17" s="78" t="s">
        <v>83</v>
      </c>
      <c r="J17" s="79"/>
      <c r="K17" s="243"/>
      <c r="L17" t="s">
        <v>211</v>
      </c>
    </row>
    <row r="18" spans="1:12" s="176" customFormat="1" ht="15.75">
      <c r="B18" s="244"/>
      <c r="C18" s="80"/>
      <c r="D18" s="81" t="s">
        <v>84</v>
      </c>
      <c r="E18" s="82" t="s">
        <v>68</v>
      </c>
      <c r="F18" s="83">
        <f>F77</f>
        <v>2789410.4000000004</v>
      </c>
      <c r="G18" s="83">
        <f>G77</f>
        <v>2789410.4000000004</v>
      </c>
      <c r="H18" s="83"/>
      <c r="I18" s="78" t="s">
        <v>69</v>
      </c>
      <c r="J18" s="79"/>
      <c r="K18" s="243"/>
    </row>
    <row r="19" spans="1:12" s="176" customFormat="1" ht="15.75">
      <c r="B19" s="244"/>
      <c r="C19" s="80"/>
      <c r="D19" s="81" t="s">
        <v>70</v>
      </c>
      <c r="E19" s="82" t="s">
        <v>71</v>
      </c>
      <c r="F19" s="84">
        <f>F78</f>
        <v>0.8</v>
      </c>
      <c r="G19" s="84">
        <f>G78</f>
        <v>1</v>
      </c>
      <c r="H19" s="84"/>
      <c r="I19" s="78"/>
      <c r="J19" s="79"/>
      <c r="K19" s="243"/>
    </row>
    <row r="20" spans="1:12" s="176" customFormat="1" ht="15.75">
      <c r="B20" s="244"/>
      <c r="C20" s="80"/>
      <c r="D20" s="81" t="s">
        <v>85</v>
      </c>
      <c r="E20" s="82" t="s">
        <v>86</v>
      </c>
      <c r="F20" s="83">
        <f>F18*F19</f>
        <v>2231528.3200000003</v>
      </c>
      <c r="G20" s="83">
        <f>G18*G19</f>
        <v>2789410.4000000004</v>
      </c>
      <c r="H20" s="83"/>
      <c r="I20" s="78"/>
      <c r="J20" s="79"/>
      <c r="K20" s="243"/>
    </row>
    <row r="21" spans="1:12" s="176" customFormat="1" ht="15.75">
      <c r="B21" s="244"/>
      <c r="C21" s="80"/>
      <c r="D21" s="81" t="s">
        <v>87</v>
      </c>
      <c r="E21" s="82" t="s">
        <v>76</v>
      </c>
      <c r="F21" s="85">
        <f>F22*2%</f>
        <v>400000</v>
      </c>
      <c r="G21" s="85">
        <f>G22*2%</f>
        <v>400000</v>
      </c>
      <c r="H21" s="84"/>
      <c r="I21" s="78" t="s">
        <v>88</v>
      </c>
      <c r="J21" s="79"/>
      <c r="K21" s="243"/>
    </row>
    <row r="22" spans="1:12" s="176" customFormat="1" ht="15.75">
      <c r="B22" s="244"/>
      <c r="C22" s="80"/>
      <c r="D22" s="86" t="s">
        <v>89</v>
      </c>
      <c r="E22" s="82" t="s">
        <v>76</v>
      </c>
      <c r="F22" s="83">
        <v>20000000</v>
      </c>
      <c r="G22" s="83">
        <f>F22</f>
        <v>20000000</v>
      </c>
      <c r="H22" s="83"/>
      <c r="I22" s="78"/>
      <c r="J22" s="79"/>
      <c r="K22" s="243"/>
    </row>
    <row r="23" spans="1:12" s="176" customFormat="1" ht="45">
      <c r="B23" s="244"/>
      <c r="C23" s="80"/>
      <c r="D23" s="86" t="s">
        <v>90</v>
      </c>
      <c r="E23" s="82" t="s">
        <v>63</v>
      </c>
      <c r="F23" s="83"/>
      <c r="G23" s="83"/>
      <c r="H23" s="83"/>
      <c r="I23" s="87" t="s">
        <v>91</v>
      </c>
      <c r="J23" s="79"/>
      <c r="K23" s="243"/>
    </row>
    <row r="24" spans="1:12" s="176" customFormat="1" ht="15.75">
      <c r="B24" s="244"/>
      <c r="C24" s="80"/>
      <c r="D24" s="88" t="s">
        <v>92</v>
      </c>
      <c r="E24" s="82" t="s">
        <v>68</v>
      </c>
      <c r="F24" s="83">
        <f>F83</f>
        <v>104602.89</v>
      </c>
      <c r="G24" s="83">
        <f>G83</f>
        <v>104602.89</v>
      </c>
      <c r="H24" s="83"/>
      <c r="I24" s="78"/>
      <c r="J24" s="79"/>
      <c r="K24" s="243"/>
    </row>
    <row r="25" spans="1:12" s="176" customFormat="1" ht="15.75">
      <c r="B25" s="244"/>
      <c r="C25" s="80"/>
      <c r="D25" s="88" t="s">
        <v>93</v>
      </c>
      <c r="E25" s="82" t="s">
        <v>63</v>
      </c>
      <c r="F25" s="83">
        <f>F21*F24/10^9</f>
        <v>41.841155999999998</v>
      </c>
      <c r="G25" s="83">
        <f>G21*G24/10^9</f>
        <v>41.841155999999998</v>
      </c>
      <c r="H25" s="83"/>
      <c r="I25" s="78"/>
      <c r="J25" s="79"/>
      <c r="K25" s="243"/>
    </row>
    <row r="26" spans="1:12" ht="105">
      <c r="A26" s="225" t="s">
        <v>206</v>
      </c>
      <c r="B26" s="242"/>
      <c r="C26" s="41" t="s">
        <v>94</v>
      </c>
      <c r="D26" s="89" t="s">
        <v>95</v>
      </c>
      <c r="E26" s="90" t="s">
        <v>63</v>
      </c>
      <c r="F26" s="50">
        <f>0*(F29*F30*F32*F31/10^9)</f>
        <v>0</v>
      </c>
      <c r="G26" s="50">
        <f>0*(G29*G30*G32*G31/10^9)</f>
        <v>0</v>
      </c>
      <c r="H26" s="50"/>
      <c r="I26" s="91" t="s">
        <v>96</v>
      </c>
      <c r="J26" s="92"/>
      <c r="K26" s="245"/>
      <c r="L26" t="s">
        <v>211</v>
      </c>
    </row>
    <row r="27" spans="1:12" ht="15.75">
      <c r="C27" s="93"/>
      <c r="D27" s="94" t="s">
        <v>84</v>
      </c>
      <c r="E27" s="95" t="s">
        <v>68</v>
      </c>
      <c r="F27" s="96">
        <f>'[1]00. Data'!E15</f>
        <v>3486763</v>
      </c>
      <c r="G27" s="96">
        <f>$F$27</f>
        <v>3486763</v>
      </c>
      <c r="H27" s="96"/>
      <c r="I27" s="46"/>
      <c r="J27" s="92"/>
      <c r="K27" s="245"/>
    </row>
    <row r="28" spans="1:12" ht="30">
      <c r="C28" s="93"/>
      <c r="D28" s="94" t="s">
        <v>70</v>
      </c>
      <c r="E28" s="95" t="s">
        <v>71</v>
      </c>
      <c r="F28" s="97">
        <v>0.3</v>
      </c>
      <c r="G28" s="97">
        <v>0.3</v>
      </c>
      <c r="H28" s="97"/>
      <c r="I28" s="46" t="s">
        <v>97</v>
      </c>
      <c r="J28" s="92"/>
      <c r="K28" s="245"/>
    </row>
    <row r="29" spans="1:12" ht="15.75">
      <c r="C29" s="93"/>
      <c r="D29" s="94" t="s">
        <v>72</v>
      </c>
      <c r="E29" s="95" t="s">
        <v>68</v>
      </c>
      <c r="F29" s="96">
        <f>F27*F28</f>
        <v>1046028.8999999999</v>
      </c>
      <c r="G29" s="96">
        <f>$F$29</f>
        <v>1046028.8999999999</v>
      </c>
      <c r="H29" s="96"/>
      <c r="I29" s="46"/>
      <c r="J29" s="92"/>
      <c r="K29" s="245"/>
    </row>
    <row r="30" spans="1:12" ht="15.75">
      <c r="C30" s="93"/>
      <c r="D30" s="94" t="s">
        <v>98</v>
      </c>
      <c r="E30" s="95" t="s">
        <v>76</v>
      </c>
      <c r="F30" s="96">
        <f>'[1]00. Data'!E47</f>
        <v>20000000</v>
      </c>
      <c r="G30" s="96">
        <v>20000000</v>
      </c>
      <c r="H30" s="96"/>
      <c r="I30" s="46"/>
      <c r="J30" s="92"/>
      <c r="K30" s="245"/>
    </row>
    <row r="31" spans="1:12" ht="60">
      <c r="C31" s="93"/>
      <c r="D31" s="94" t="s">
        <v>99</v>
      </c>
      <c r="E31" s="95" t="s">
        <v>76</v>
      </c>
      <c r="F31" s="98">
        <v>7.0000000000000007E-2</v>
      </c>
      <c r="G31" s="98">
        <v>7.0000000000000007E-2</v>
      </c>
      <c r="H31" s="99"/>
      <c r="I31" s="46" t="s">
        <v>100</v>
      </c>
      <c r="J31" s="92"/>
      <c r="K31" s="245"/>
    </row>
    <row r="32" spans="1:12" ht="15.75">
      <c r="C32" s="93"/>
      <c r="D32" s="94" t="s">
        <v>101</v>
      </c>
      <c r="E32" s="95" t="s">
        <v>71</v>
      </c>
      <c r="F32" s="98">
        <v>0.2</v>
      </c>
      <c r="G32" s="98">
        <v>0.3</v>
      </c>
      <c r="H32" s="99"/>
      <c r="I32" s="46" t="s">
        <v>102</v>
      </c>
      <c r="J32" s="92"/>
      <c r="K32" s="245"/>
    </row>
    <row r="33" spans="1:12" s="176" customFormat="1" ht="78.75">
      <c r="B33" s="244"/>
      <c r="C33" s="74" t="s">
        <v>103</v>
      </c>
      <c r="D33" s="75" t="s">
        <v>104</v>
      </c>
      <c r="E33" s="100" t="s">
        <v>63</v>
      </c>
      <c r="F33" s="77">
        <v>0</v>
      </c>
      <c r="G33" s="77">
        <v>0</v>
      </c>
      <c r="H33" s="101"/>
      <c r="I33" s="78"/>
      <c r="J33" s="79"/>
      <c r="K33" s="243"/>
    </row>
    <row r="34" spans="1:12" ht="31.5">
      <c r="C34" s="93"/>
      <c r="D34" s="102" t="s">
        <v>67</v>
      </c>
      <c r="E34" s="103" t="s">
        <v>68</v>
      </c>
      <c r="F34" s="104">
        <f>F77</f>
        <v>2789410.4000000004</v>
      </c>
      <c r="G34" s="104">
        <f>F34</f>
        <v>2789410.4000000004</v>
      </c>
      <c r="H34" s="99"/>
      <c r="I34" s="46"/>
      <c r="J34" s="92"/>
      <c r="K34" s="245"/>
    </row>
    <row r="35" spans="1:12" ht="15.75">
      <c r="C35" s="93"/>
      <c r="D35" s="102" t="s">
        <v>70</v>
      </c>
      <c r="E35" s="103" t="s">
        <v>71</v>
      </c>
      <c r="F35" s="105">
        <v>0.8</v>
      </c>
      <c r="G35" s="105">
        <v>1</v>
      </c>
      <c r="H35" s="99"/>
      <c r="I35" s="46"/>
      <c r="J35" s="92"/>
      <c r="K35" s="245"/>
    </row>
    <row r="36" spans="1:12" ht="15.75">
      <c r="C36" s="93"/>
      <c r="D36" s="102" t="s">
        <v>105</v>
      </c>
      <c r="E36" s="103" t="s">
        <v>71</v>
      </c>
      <c r="F36" s="105">
        <v>0.5</v>
      </c>
      <c r="G36" s="105">
        <f>F36</f>
        <v>0.5</v>
      </c>
      <c r="H36" s="99"/>
      <c r="I36" s="46"/>
      <c r="J36" s="92"/>
      <c r="K36" s="245"/>
    </row>
    <row r="37" spans="1:12" ht="15.75">
      <c r="C37" s="93"/>
      <c r="D37" s="102" t="s">
        <v>106</v>
      </c>
      <c r="E37" s="103" t="s">
        <v>71</v>
      </c>
      <c r="F37" s="105">
        <v>0.2</v>
      </c>
      <c r="G37" s="105">
        <f>F37</f>
        <v>0.2</v>
      </c>
      <c r="H37" s="99"/>
      <c r="I37" s="46"/>
      <c r="J37" s="92"/>
      <c r="K37" s="245"/>
    </row>
    <row r="38" spans="1:12" ht="15.75">
      <c r="C38" s="93"/>
      <c r="D38" s="102" t="s">
        <v>107</v>
      </c>
      <c r="E38" s="103" t="s">
        <v>76</v>
      </c>
      <c r="F38" s="104">
        <f>F39*8%</f>
        <v>1600000</v>
      </c>
      <c r="G38" s="104">
        <f>F38</f>
        <v>1600000</v>
      </c>
      <c r="H38" s="99"/>
      <c r="I38" s="46"/>
      <c r="J38" s="92"/>
      <c r="K38" s="245"/>
    </row>
    <row r="39" spans="1:12" ht="15.75">
      <c r="C39" s="93"/>
      <c r="D39" s="102" t="s">
        <v>98</v>
      </c>
      <c r="E39" s="95" t="s">
        <v>76</v>
      </c>
      <c r="F39" s="96">
        <v>20000000</v>
      </c>
      <c r="G39" s="96">
        <f>F39</f>
        <v>20000000</v>
      </c>
      <c r="H39" s="99"/>
      <c r="I39" s="46"/>
      <c r="J39" s="92"/>
      <c r="K39" s="245"/>
    </row>
    <row r="40" spans="1:12" ht="15.75">
      <c r="C40" s="93"/>
      <c r="D40" s="102" t="s">
        <v>108</v>
      </c>
      <c r="E40" s="103"/>
      <c r="F40" s="104"/>
      <c r="G40" s="104"/>
      <c r="H40" s="99"/>
      <c r="I40" s="46"/>
      <c r="J40" s="92"/>
      <c r="K40" s="245"/>
    </row>
    <row r="41" spans="1:12" ht="31.5">
      <c r="C41" s="93"/>
      <c r="D41" s="106" t="s">
        <v>109</v>
      </c>
      <c r="E41" s="103" t="s">
        <v>68</v>
      </c>
      <c r="F41" s="104">
        <f>F24</f>
        <v>104602.89</v>
      </c>
      <c r="G41" s="104">
        <f>G24</f>
        <v>104602.89</v>
      </c>
      <c r="H41" s="99"/>
      <c r="I41" s="46"/>
      <c r="J41" s="92"/>
      <c r="K41" s="245"/>
    </row>
    <row r="42" spans="1:12" ht="15.75">
      <c r="C42" s="93"/>
      <c r="D42" s="106" t="s">
        <v>110</v>
      </c>
      <c r="E42" s="103" t="s">
        <v>63</v>
      </c>
      <c r="F42" s="104">
        <f>F38*F41/10^9</f>
        <v>167.36462399999999</v>
      </c>
      <c r="G42" s="104">
        <f>G38*G41/10^9</f>
        <v>167.36462399999999</v>
      </c>
      <c r="H42" s="99"/>
      <c r="I42" s="46"/>
      <c r="J42" s="92"/>
      <c r="K42" s="245"/>
    </row>
    <row r="43" spans="1:12" s="232" customFormat="1" ht="47.25">
      <c r="A43" s="229" t="s">
        <v>206</v>
      </c>
      <c r="B43" s="230" t="s">
        <v>212</v>
      </c>
      <c r="C43" s="107" t="s">
        <v>111</v>
      </c>
      <c r="D43" s="108" t="s">
        <v>112</v>
      </c>
      <c r="E43" s="109"/>
      <c r="F43" s="110">
        <f>F46+F53+F58+F96</f>
        <v>509.28000000000009</v>
      </c>
      <c r="G43" s="279">
        <f>G46+G53+G58+G96</f>
        <v>763.92</v>
      </c>
      <c r="H43" s="110"/>
      <c r="I43" s="111" t="s">
        <v>113</v>
      </c>
      <c r="J43" s="112"/>
      <c r="K43" s="308" t="s">
        <v>213</v>
      </c>
      <c r="L43" s="246" t="s">
        <v>214</v>
      </c>
    </row>
    <row r="44" spans="1:12" s="232" customFormat="1" ht="45">
      <c r="A44" s="229"/>
      <c r="B44" s="230"/>
      <c r="C44" s="107"/>
      <c r="D44" s="113" t="s">
        <v>114</v>
      </c>
      <c r="E44" s="109"/>
      <c r="F44" s="114">
        <v>0.08</v>
      </c>
      <c r="G44" s="115">
        <f>F44</f>
        <v>0.08</v>
      </c>
      <c r="H44" s="115"/>
      <c r="I44" s="111" t="s">
        <v>115</v>
      </c>
      <c r="J44" s="112"/>
      <c r="K44" s="308"/>
    </row>
    <row r="45" spans="1:12" s="232" customFormat="1" ht="90">
      <c r="B45" s="233"/>
      <c r="C45" s="116"/>
      <c r="D45" s="113" t="s">
        <v>116</v>
      </c>
      <c r="E45" s="109"/>
      <c r="F45" s="114">
        <v>0.2</v>
      </c>
      <c r="G45" s="114">
        <v>0.3</v>
      </c>
      <c r="H45" s="114"/>
      <c r="I45" s="111" t="s">
        <v>117</v>
      </c>
      <c r="J45" s="112" t="s">
        <v>118</v>
      </c>
      <c r="K45" s="308"/>
    </row>
    <row r="46" spans="1:12" s="232" customFormat="1" ht="15.75">
      <c r="A46" s="229"/>
      <c r="B46" s="230"/>
      <c r="C46" s="107" t="s">
        <v>119</v>
      </c>
      <c r="D46" s="108" t="s">
        <v>120</v>
      </c>
      <c r="E46" s="109"/>
      <c r="F46" s="110">
        <f>F52*F45*F44</f>
        <v>189.28</v>
      </c>
      <c r="G46" s="110">
        <f>G52*G45*G44</f>
        <v>283.92</v>
      </c>
      <c r="H46" s="110"/>
      <c r="I46" s="111"/>
      <c r="J46" s="117"/>
      <c r="K46" s="308"/>
    </row>
    <row r="47" spans="1:12" s="232" customFormat="1" ht="63">
      <c r="B47" s="233"/>
      <c r="C47" s="118"/>
      <c r="D47" s="113" t="s">
        <v>121</v>
      </c>
      <c r="E47" s="119" t="s">
        <v>68</v>
      </c>
      <c r="F47" s="120">
        <f>'[1]00. Data'!E29</f>
        <v>8600</v>
      </c>
      <c r="G47" s="120">
        <f>F47</f>
        <v>8600</v>
      </c>
      <c r="H47" s="120"/>
      <c r="I47" s="121"/>
      <c r="J47" s="117"/>
      <c r="K47" s="308"/>
    </row>
    <row r="48" spans="1:12" s="232" customFormat="1" ht="78.75">
      <c r="B48" s="233"/>
      <c r="C48" s="118"/>
      <c r="D48" s="113" t="s">
        <v>122</v>
      </c>
      <c r="E48" s="119" t="s">
        <v>68</v>
      </c>
      <c r="F48" s="120">
        <f>'[1]00. Data'!E30</f>
        <v>500</v>
      </c>
      <c r="G48" s="120">
        <f>F48</f>
        <v>500</v>
      </c>
      <c r="H48" s="120"/>
      <c r="I48" s="111"/>
      <c r="J48" s="117"/>
      <c r="K48" s="308"/>
    </row>
    <row r="49" spans="2:11" s="232" customFormat="1" ht="15.75">
      <c r="B49" s="233"/>
      <c r="C49" s="118"/>
      <c r="D49" s="113" t="s">
        <v>70</v>
      </c>
      <c r="E49" s="119" t="s">
        <v>71</v>
      </c>
      <c r="F49" s="122">
        <v>1</v>
      </c>
      <c r="G49" s="122">
        <f>F49</f>
        <v>1</v>
      </c>
      <c r="H49" s="122"/>
      <c r="I49" s="111"/>
      <c r="J49" s="117"/>
      <c r="K49" s="308"/>
    </row>
    <row r="50" spans="2:11" s="232" customFormat="1" ht="15.75">
      <c r="B50" s="233"/>
      <c r="C50" s="118"/>
      <c r="D50" s="113" t="s">
        <v>123</v>
      </c>
      <c r="E50" s="119" t="s">
        <v>63</v>
      </c>
      <c r="F50" s="123">
        <v>1.3</v>
      </c>
      <c r="G50" s="123">
        <f>F50</f>
        <v>1.3</v>
      </c>
      <c r="H50" s="123"/>
      <c r="I50" s="111"/>
      <c r="J50" s="117"/>
      <c r="K50" s="308"/>
    </row>
    <row r="51" spans="2:11" s="232" customFormat="1" ht="15.75">
      <c r="B51" s="233"/>
      <c r="C51" s="116"/>
      <c r="D51" s="113" t="s">
        <v>124</v>
      </c>
      <c r="E51" s="119" t="s">
        <v>63</v>
      </c>
      <c r="F51" s="123">
        <v>1.3</v>
      </c>
      <c r="G51" s="123">
        <f>F51</f>
        <v>1.3</v>
      </c>
      <c r="H51" s="123"/>
      <c r="I51" s="111"/>
      <c r="J51" s="117"/>
      <c r="K51" s="308"/>
    </row>
    <row r="52" spans="2:11" s="232" customFormat="1" ht="15.75">
      <c r="B52" s="233"/>
      <c r="C52" s="116"/>
      <c r="D52" s="113" t="s">
        <v>125</v>
      </c>
      <c r="E52" s="119" t="s">
        <v>63</v>
      </c>
      <c r="F52" s="120">
        <f>(F47*F49*F50+F48*F49*F51)</f>
        <v>11830</v>
      </c>
      <c r="G52" s="120">
        <f>(G47*G49*G50+G48*G49*G51)</f>
        <v>11830</v>
      </c>
      <c r="H52" s="123"/>
      <c r="I52" s="111"/>
      <c r="J52" s="117"/>
      <c r="K52" s="308"/>
    </row>
    <row r="53" spans="2:11" s="232" customFormat="1" ht="31.5">
      <c r="B53" s="233"/>
      <c r="C53" s="107" t="s">
        <v>126</v>
      </c>
      <c r="D53" s="108" t="s">
        <v>127</v>
      </c>
      <c r="E53" s="109"/>
      <c r="F53" s="124">
        <f>F57*F45*F44</f>
        <v>278.40000000000003</v>
      </c>
      <c r="G53" s="124">
        <f>G57*G45*G44</f>
        <v>417.6</v>
      </c>
      <c r="H53" s="120"/>
      <c r="I53" s="111"/>
      <c r="J53" s="117"/>
      <c r="K53" s="308"/>
    </row>
    <row r="54" spans="2:11" s="232" customFormat="1" ht="63">
      <c r="B54" s="233"/>
      <c r="C54" s="116"/>
      <c r="D54" s="113" t="s">
        <v>128</v>
      </c>
      <c r="E54" s="119" t="s">
        <v>68</v>
      </c>
      <c r="F54" s="120">
        <f>'[1]00. Data'!E31+'[1]00. Data'!E32</f>
        <v>34800</v>
      </c>
      <c r="G54" s="120">
        <f>F54</f>
        <v>34800</v>
      </c>
      <c r="H54" s="120"/>
      <c r="I54" s="111"/>
      <c r="J54" s="117"/>
      <c r="K54" s="308"/>
    </row>
    <row r="55" spans="2:11" s="232" customFormat="1" ht="15.75">
      <c r="B55" s="233"/>
      <c r="C55" s="116"/>
      <c r="D55" s="113" t="s">
        <v>70</v>
      </c>
      <c r="E55" s="119" t="s">
        <v>71</v>
      </c>
      <c r="F55" s="122">
        <v>1</v>
      </c>
      <c r="G55" s="122">
        <f>F55</f>
        <v>1</v>
      </c>
      <c r="H55" s="121"/>
      <c r="I55" s="111"/>
      <c r="J55" s="112"/>
      <c r="K55" s="308"/>
    </row>
    <row r="56" spans="2:11" s="232" customFormat="1" ht="15.75">
      <c r="B56" s="233"/>
      <c r="C56" s="116"/>
      <c r="D56" s="113" t="s">
        <v>129</v>
      </c>
      <c r="E56" s="119" t="s">
        <v>63</v>
      </c>
      <c r="F56" s="123">
        <v>0.5</v>
      </c>
      <c r="G56" s="123">
        <f>F56</f>
        <v>0.5</v>
      </c>
      <c r="H56" s="121"/>
      <c r="I56" s="111"/>
      <c r="J56" s="112"/>
      <c r="K56" s="308"/>
    </row>
    <row r="57" spans="2:11" s="232" customFormat="1" ht="15.75">
      <c r="B57" s="233"/>
      <c r="C57" s="116"/>
      <c r="D57" s="113" t="s">
        <v>125</v>
      </c>
      <c r="E57" s="119" t="s">
        <v>63</v>
      </c>
      <c r="F57" s="120">
        <f>F54*F55*F56</f>
        <v>17400</v>
      </c>
      <c r="G57" s="120">
        <f>G54*G55*G56</f>
        <v>17400</v>
      </c>
      <c r="H57" s="121"/>
      <c r="I57" s="111"/>
      <c r="J57" s="112"/>
      <c r="K57" s="308"/>
    </row>
    <row r="58" spans="2:11" s="232" customFormat="1" ht="75">
      <c r="B58" s="233"/>
      <c r="C58" s="107" t="s">
        <v>130</v>
      </c>
      <c r="D58" s="108" t="s">
        <v>131</v>
      </c>
      <c r="E58" s="119"/>
      <c r="F58" s="110">
        <f>F65*F45*F44</f>
        <v>41.6</v>
      </c>
      <c r="G58" s="110">
        <f>G65*G45*G44</f>
        <v>62.4</v>
      </c>
      <c r="H58" s="121"/>
      <c r="I58" s="111" t="str">
        <f>I73</f>
        <v>Dịch vụ kinh doanh cho thuê phương tiện 2 bánh công cộng sẽ giúp các cá nhân giảm áp lực phải sở hữu phương tiện, tăng hiệu suất sử dụng phương tiện, giảm chi phí gửi xe, giảm nguy cơ cháy nổ.</v>
      </c>
      <c r="J58" s="112"/>
      <c r="K58" s="308"/>
    </row>
    <row r="59" spans="2:11" s="232" customFormat="1" ht="15.75">
      <c r="B59" s="233"/>
      <c r="C59" s="116"/>
      <c r="D59" s="113" t="s">
        <v>132</v>
      </c>
      <c r="E59" s="119" t="s">
        <v>68</v>
      </c>
      <c r="F59" s="120">
        <v>50000</v>
      </c>
      <c r="G59" s="120">
        <f t="shared" ref="G59:G65" si="0">F59</f>
        <v>50000</v>
      </c>
      <c r="H59" s="121"/>
      <c r="I59" s="111"/>
      <c r="J59" s="112"/>
      <c r="K59" s="308"/>
    </row>
    <row r="60" spans="2:11" s="232" customFormat="1" ht="15.75">
      <c r="B60" s="233"/>
      <c r="C60" s="116"/>
      <c r="D60" s="113" t="s">
        <v>133</v>
      </c>
      <c r="E60" s="119" t="s">
        <v>76</v>
      </c>
      <c r="F60" s="120">
        <v>2000000</v>
      </c>
      <c r="G60" s="120">
        <f t="shared" si="0"/>
        <v>2000000</v>
      </c>
      <c r="H60" s="121"/>
      <c r="I60" s="111"/>
      <c r="J60" s="112"/>
      <c r="K60" s="308"/>
    </row>
    <row r="61" spans="2:11" s="232" customFormat="1" ht="15.75">
      <c r="B61" s="233"/>
      <c r="C61" s="116"/>
      <c r="D61" s="113" t="s">
        <v>134</v>
      </c>
      <c r="E61" s="119" t="s">
        <v>68</v>
      </c>
      <c r="F61" s="120">
        <v>50000</v>
      </c>
      <c r="G61" s="120">
        <f t="shared" si="0"/>
        <v>50000</v>
      </c>
      <c r="H61" s="121"/>
      <c r="I61" s="111"/>
      <c r="J61" s="112"/>
      <c r="K61" s="308"/>
    </row>
    <row r="62" spans="2:11" s="232" customFormat="1" ht="15.75">
      <c r="B62" s="233"/>
      <c r="C62" s="116"/>
      <c r="D62" s="113" t="s">
        <v>135</v>
      </c>
      <c r="E62" s="119" t="s">
        <v>76</v>
      </c>
      <c r="F62" s="120">
        <v>10000000</v>
      </c>
      <c r="G62" s="120">
        <f t="shared" si="0"/>
        <v>10000000</v>
      </c>
      <c r="H62" s="121"/>
      <c r="I62" s="111"/>
      <c r="J62" s="112"/>
      <c r="K62" s="308"/>
    </row>
    <row r="63" spans="2:11" s="232" customFormat="1" ht="15.75">
      <c r="B63" s="233"/>
      <c r="C63" s="116"/>
      <c r="D63" s="113" t="s">
        <v>136</v>
      </c>
      <c r="E63" s="119" t="s">
        <v>68</v>
      </c>
      <c r="F63" s="120">
        <v>100000</v>
      </c>
      <c r="G63" s="120">
        <f t="shared" si="0"/>
        <v>100000</v>
      </c>
      <c r="H63" s="121"/>
      <c r="I63" s="111"/>
      <c r="J63" s="112"/>
      <c r="K63" s="308"/>
    </row>
    <row r="64" spans="2:11" s="232" customFormat="1" ht="15.75">
      <c r="B64" s="233"/>
      <c r="C64" s="116"/>
      <c r="D64" s="113" t="s">
        <v>137</v>
      </c>
      <c r="E64" s="119" t="s">
        <v>76</v>
      </c>
      <c r="F64" s="120">
        <f>'[1]00. Data'!E47</f>
        <v>20000000</v>
      </c>
      <c r="G64" s="120">
        <f t="shared" si="0"/>
        <v>20000000</v>
      </c>
      <c r="H64" s="121"/>
      <c r="I64" s="111"/>
      <c r="J64" s="112"/>
      <c r="K64" s="308"/>
    </row>
    <row r="65" spans="1:11" s="232" customFormat="1" ht="15.75">
      <c r="B65" s="233"/>
      <c r="C65" s="125"/>
      <c r="D65" s="126" t="s">
        <v>125</v>
      </c>
      <c r="E65" s="127" t="s">
        <v>63</v>
      </c>
      <c r="F65" s="128">
        <f>(F59*F60+F61*F62+F63*F64)/10^9</f>
        <v>2600</v>
      </c>
      <c r="G65" s="128">
        <f t="shared" si="0"/>
        <v>2600</v>
      </c>
      <c r="H65" s="129"/>
      <c r="I65" s="130"/>
      <c r="J65" s="131"/>
      <c r="K65" s="308"/>
    </row>
    <row r="66" spans="1:11" ht="42.75">
      <c r="B66" s="224" t="s">
        <v>215</v>
      </c>
      <c r="C66" s="132" t="s">
        <v>138</v>
      </c>
      <c r="D66" s="132" t="s">
        <v>139</v>
      </c>
      <c r="E66" s="132" t="s">
        <v>63</v>
      </c>
      <c r="F66" s="132">
        <f>F67+F90</f>
        <v>848.27499999999998</v>
      </c>
      <c r="G66" s="132">
        <f>G67+G90</f>
        <v>848.27499999999998</v>
      </c>
      <c r="H66" s="132">
        <f>H67+G90+H43</f>
        <v>954.28317499999991</v>
      </c>
      <c r="I66" s="133" t="s">
        <v>140</v>
      </c>
      <c r="J66" s="132"/>
      <c r="K66" s="132"/>
    </row>
    <row r="67" spans="1:11" s="232" customFormat="1" ht="63">
      <c r="B67" s="233"/>
      <c r="C67" s="134" t="s">
        <v>141</v>
      </c>
      <c r="D67" s="135" t="s">
        <v>142</v>
      </c>
      <c r="E67" s="136" t="s">
        <v>63</v>
      </c>
      <c r="F67" s="137">
        <f>F68+F73+F86</f>
        <v>848.27499999999998</v>
      </c>
      <c r="G67" s="282">
        <f>F67</f>
        <v>848.27499999999998</v>
      </c>
      <c r="H67" s="137">
        <f>H68+H73+H86</f>
        <v>954.28317499999991</v>
      </c>
      <c r="I67" s="138" t="s">
        <v>143</v>
      </c>
      <c r="J67" s="139"/>
      <c r="K67" s="312" t="s">
        <v>216</v>
      </c>
    </row>
    <row r="68" spans="1:11" s="232" customFormat="1" ht="75">
      <c r="B68" s="233"/>
      <c r="C68" s="140" t="s">
        <v>144</v>
      </c>
      <c r="D68" s="141" t="s">
        <v>145</v>
      </c>
      <c r="E68" s="142" t="s">
        <v>63</v>
      </c>
      <c r="F68" s="143">
        <f>((SUM(F69:F70)*F72)*50%+(F71*20000000)*100%)/10^9</f>
        <v>698.27499999999998</v>
      </c>
      <c r="G68" s="143">
        <f t="shared" ref="G68:G75" si="1">F68</f>
        <v>698.27499999999998</v>
      </c>
      <c r="H68" s="144">
        <f>F68</f>
        <v>698.27499999999998</v>
      </c>
      <c r="I68" s="145"/>
      <c r="J68" s="146" t="s">
        <v>146</v>
      </c>
      <c r="K68" s="313"/>
    </row>
    <row r="69" spans="1:11" s="232" customFormat="1" ht="47.25">
      <c r="B69" s="233"/>
      <c r="C69" s="140"/>
      <c r="D69" s="141" t="s">
        <v>147</v>
      </c>
      <c r="E69" s="147" t="s">
        <v>68</v>
      </c>
      <c r="F69" s="144">
        <f>'[1]00. Data'!E29</f>
        <v>8600</v>
      </c>
      <c r="G69" s="143">
        <f t="shared" si="1"/>
        <v>8600</v>
      </c>
      <c r="H69" s="144"/>
      <c r="I69" s="145"/>
      <c r="J69" s="146"/>
      <c r="K69" s="313"/>
    </row>
    <row r="70" spans="1:11" s="232" customFormat="1" ht="63">
      <c r="B70" s="233"/>
      <c r="C70" s="140"/>
      <c r="D70" s="141" t="s">
        <v>148</v>
      </c>
      <c r="E70" s="147" t="s">
        <v>68</v>
      </c>
      <c r="F70" s="144">
        <f>'[1]00. Data'!E30</f>
        <v>500</v>
      </c>
      <c r="G70" s="143">
        <f t="shared" si="1"/>
        <v>500</v>
      </c>
      <c r="H70" s="144"/>
      <c r="I70" s="145"/>
      <c r="J70" s="146"/>
      <c r="K70" s="313"/>
    </row>
    <row r="71" spans="1:11" s="232" customFormat="1" ht="63">
      <c r="B71" s="233"/>
      <c r="C71" s="140"/>
      <c r="D71" s="141" t="s">
        <v>149</v>
      </c>
      <c r="E71" s="147" t="s">
        <v>68</v>
      </c>
      <c r="F71" s="144">
        <f>'[1]00. Data'!E31+'[1]00. Data'!E32</f>
        <v>34800</v>
      </c>
      <c r="G71" s="143">
        <f>F71</f>
        <v>34800</v>
      </c>
      <c r="H71" s="144"/>
      <c r="I71" s="145"/>
      <c r="J71" s="146"/>
      <c r="K71" s="313"/>
    </row>
    <row r="72" spans="1:11" s="232" customFormat="1" ht="15.75">
      <c r="B72" s="233"/>
      <c r="C72" s="148"/>
      <c r="D72" s="149" t="s">
        <v>107</v>
      </c>
      <c r="E72" s="147" t="s">
        <v>76</v>
      </c>
      <c r="F72" s="144">
        <v>500000</v>
      </c>
      <c r="G72" s="143">
        <f t="shared" si="1"/>
        <v>500000</v>
      </c>
      <c r="H72" s="144">
        <f>F72</f>
        <v>500000</v>
      </c>
      <c r="I72" s="145"/>
      <c r="J72" s="146"/>
      <c r="K72" s="313"/>
    </row>
    <row r="73" spans="1:11" s="232" customFormat="1" ht="180">
      <c r="B73" s="233"/>
      <c r="C73" s="140" t="s">
        <v>150</v>
      </c>
      <c r="D73" s="141" t="s">
        <v>151</v>
      </c>
      <c r="E73" s="147" t="s">
        <v>63</v>
      </c>
      <c r="F73" s="143">
        <f>F74*F75/10^9</f>
        <v>150</v>
      </c>
      <c r="G73" s="143">
        <f t="shared" si="1"/>
        <v>150</v>
      </c>
      <c r="H73" s="144">
        <f>F73</f>
        <v>150</v>
      </c>
      <c r="I73" s="145" t="s">
        <v>152</v>
      </c>
      <c r="J73" s="146" t="s">
        <v>153</v>
      </c>
      <c r="K73" s="313"/>
    </row>
    <row r="74" spans="1:11" s="232" customFormat="1" ht="15.75">
      <c r="B74" s="233"/>
      <c r="C74" s="140"/>
      <c r="D74" s="149" t="s">
        <v>154</v>
      </c>
      <c r="E74" s="147" t="s">
        <v>68</v>
      </c>
      <c r="F74" s="144">
        <f>'[1]00. Data'!E41</f>
        <v>100000</v>
      </c>
      <c r="G74" s="143">
        <f t="shared" si="1"/>
        <v>100000</v>
      </c>
      <c r="H74" s="144"/>
      <c r="I74" s="145"/>
      <c r="J74" s="150"/>
      <c r="K74" s="313"/>
    </row>
    <row r="75" spans="1:11" s="232" customFormat="1" ht="15.75">
      <c r="B75" s="233"/>
      <c r="C75" s="151"/>
      <c r="D75" s="149" t="s">
        <v>107</v>
      </c>
      <c r="E75" s="147" t="s">
        <v>76</v>
      </c>
      <c r="F75" s="144">
        <v>1500000</v>
      </c>
      <c r="G75" s="143">
        <f t="shared" si="1"/>
        <v>1500000</v>
      </c>
      <c r="H75" s="151"/>
      <c r="I75" s="151"/>
      <c r="J75" s="152"/>
      <c r="K75" s="313"/>
    </row>
    <row r="76" spans="1:11" s="232" customFormat="1" ht="60">
      <c r="A76" s="229" t="s">
        <v>206</v>
      </c>
      <c r="B76" s="230" t="s">
        <v>217</v>
      </c>
      <c r="C76" s="148" t="s">
        <v>155</v>
      </c>
      <c r="D76" s="153" t="s">
        <v>156</v>
      </c>
      <c r="E76" s="154" t="s">
        <v>63</v>
      </c>
      <c r="F76" s="143">
        <f>((F77*0.43%*F78*F81*F79)+(F77*99.57%*F81*F80))/10^9</f>
        <v>2097.4553091240005</v>
      </c>
      <c r="G76" s="279">
        <f>((G77*0.31%*G78*G81*G79)+(G77*99.69%*G81*G80))/10^9</f>
        <v>2098.5431791800006</v>
      </c>
      <c r="H76" s="143"/>
      <c r="I76" s="145" t="s">
        <v>157</v>
      </c>
      <c r="J76" s="155"/>
      <c r="K76" s="314" t="s">
        <v>218</v>
      </c>
    </row>
    <row r="77" spans="1:11" s="232" customFormat="1" ht="31.5">
      <c r="A77" s="229"/>
      <c r="B77" s="230"/>
      <c r="C77" s="156">
        <v>1</v>
      </c>
      <c r="D77" s="149" t="s">
        <v>67</v>
      </c>
      <c r="E77" s="147" t="s">
        <v>68</v>
      </c>
      <c r="F77" s="157">
        <f>'[1]Bieu 1 Bang tinh full'!G12</f>
        <v>2789410.4000000004</v>
      </c>
      <c r="G77" s="157">
        <f>F77</f>
        <v>2789410.4000000004</v>
      </c>
      <c r="H77" s="157"/>
      <c r="I77" s="158" t="s">
        <v>158</v>
      </c>
      <c r="J77" s="155"/>
      <c r="K77" s="314"/>
    </row>
    <row r="78" spans="1:11" s="232" customFormat="1" ht="90">
      <c r="A78" s="229"/>
      <c r="B78" s="230"/>
      <c r="C78" s="159"/>
      <c r="D78" s="149" t="s">
        <v>70</v>
      </c>
      <c r="E78" s="147" t="s">
        <v>71</v>
      </c>
      <c r="F78" s="160">
        <v>0.8</v>
      </c>
      <c r="G78" s="160">
        <v>1</v>
      </c>
      <c r="H78" s="160"/>
      <c r="I78" s="158" t="s">
        <v>159</v>
      </c>
      <c r="J78" s="155"/>
      <c r="K78" s="314"/>
    </row>
    <row r="79" spans="1:11" s="232" customFormat="1" ht="15.75">
      <c r="A79" s="229"/>
      <c r="B79" s="230"/>
      <c r="C79" s="159"/>
      <c r="D79" s="149" t="s">
        <v>105</v>
      </c>
      <c r="E79" s="147" t="s">
        <v>71</v>
      </c>
      <c r="F79" s="160">
        <v>1</v>
      </c>
      <c r="G79" s="160">
        <f>F79</f>
        <v>1</v>
      </c>
      <c r="H79" s="160"/>
      <c r="I79" s="158"/>
      <c r="J79" s="155"/>
      <c r="K79" s="314"/>
    </row>
    <row r="80" spans="1:11" s="232" customFormat="1" ht="15.75">
      <c r="A80" s="229"/>
      <c r="B80" s="230"/>
      <c r="C80" s="159"/>
      <c r="D80" s="149" t="s">
        <v>106</v>
      </c>
      <c r="E80" s="147" t="s">
        <v>71</v>
      </c>
      <c r="F80" s="160">
        <v>0.5</v>
      </c>
      <c r="G80" s="160">
        <f>F80</f>
        <v>0.5</v>
      </c>
      <c r="H80" s="160"/>
      <c r="I80" s="158"/>
      <c r="J80" s="155"/>
      <c r="K80" s="314"/>
    </row>
    <row r="81" spans="1:11" s="232" customFormat="1" ht="15.75">
      <c r="A81" s="229"/>
      <c r="B81" s="230"/>
      <c r="C81" s="159"/>
      <c r="D81" s="149" t="s">
        <v>107</v>
      </c>
      <c r="E81" s="147" t="s">
        <v>76</v>
      </c>
      <c r="F81" s="157">
        <v>1500000</v>
      </c>
      <c r="G81" s="157">
        <f>F81</f>
        <v>1500000</v>
      </c>
      <c r="H81" s="157"/>
      <c r="I81" s="158" t="s">
        <v>160</v>
      </c>
      <c r="J81" s="155"/>
      <c r="K81" s="314"/>
    </row>
    <row r="82" spans="1:11" s="232" customFormat="1" ht="15.75">
      <c r="A82" s="229"/>
      <c r="B82" s="230"/>
      <c r="C82" s="159"/>
      <c r="D82" s="149" t="s">
        <v>108</v>
      </c>
      <c r="E82" s="147"/>
      <c r="F82" s="157"/>
      <c r="G82" s="157"/>
      <c r="H82" s="157"/>
      <c r="I82" s="158"/>
      <c r="J82" s="155"/>
      <c r="K82" s="314"/>
    </row>
    <row r="83" spans="1:11" s="232" customFormat="1" ht="31.5">
      <c r="A83" s="229"/>
      <c r="B83" s="230"/>
      <c r="C83" s="159"/>
      <c r="D83" s="161" t="s">
        <v>109</v>
      </c>
      <c r="E83" s="147" t="s">
        <v>68</v>
      </c>
      <c r="F83" s="157">
        <f>3%*F10</f>
        <v>104602.89</v>
      </c>
      <c r="G83" s="157">
        <f>F83</f>
        <v>104602.89</v>
      </c>
      <c r="H83" s="157"/>
      <c r="I83" s="158" t="s">
        <v>161</v>
      </c>
      <c r="J83" s="155"/>
      <c r="K83" s="314"/>
    </row>
    <row r="84" spans="1:11" s="232" customFormat="1" ht="15.75">
      <c r="A84" s="229"/>
      <c r="B84" s="230"/>
      <c r="C84" s="159"/>
      <c r="D84" s="161" t="s">
        <v>110</v>
      </c>
      <c r="E84" s="147" t="s">
        <v>63</v>
      </c>
      <c r="F84" s="157">
        <f>F83*F81/10^9</f>
        <v>156.904335</v>
      </c>
      <c r="G84" s="157">
        <f>G83*G81/10^9</f>
        <v>156.904335</v>
      </c>
      <c r="H84" s="157"/>
      <c r="I84" s="158"/>
      <c r="J84" s="155"/>
      <c r="K84" s="314"/>
    </row>
    <row r="85" spans="1:11" s="232" customFormat="1" ht="15.75">
      <c r="B85" s="233"/>
      <c r="C85" s="162"/>
      <c r="D85" s="163"/>
      <c r="E85" s="164"/>
      <c r="F85" s="165"/>
      <c r="G85" s="166"/>
      <c r="H85" s="162"/>
      <c r="I85" s="162"/>
      <c r="J85" s="92"/>
      <c r="K85" s="245"/>
    </row>
    <row r="86" spans="1:11" s="232" customFormat="1" ht="31.5">
      <c r="B86" s="233"/>
      <c r="C86" s="167" t="s">
        <v>162</v>
      </c>
      <c r="D86" s="168" t="s">
        <v>163</v>
      </c>
      <c r="E86" s="164"/>
      <c r="F86" s="165"/>
      <c r="G86" s="165"/>
      <c r="H86" s="169">
        <f>H89*H72/10^9</f>
        <v>106.00817499999998</v>
      </c>
      <c r="I86" s="170" t="s">
        <v>164</v>
      </c>
      <c r="J86" s="92"/>
      <c r="K86" s="245"/>
    </row>
    <row r="87" spans="1:11" s="232" customFormat="1" ht="15.75">
      <c r="B87" s="233"/>
      <c r="C87" s="171"/>
      <c r="D87" s="163" t="s">
        <v>84</v>
      </c>
      <c r="E87" s="164" t="s">
        <v>68</v>
      </c>
      <c r="F87" s="165"/>
      <c r="G87" s="165"/>
      <c r="H87" s="165">
        <f>'[1]00. Data'!E24+'[1]00. Data'!E27+SUM('[1]00. Data'!E29:E32)</f>
        <v>212016.34999999998</v>
      </c>
      <c r="I87" s="172"/>
      <c r="J87" s="173"/>
      <c r="K87" s="247"/>
    </row>
    <row r="88" spans="1:11" s="232" customFormat="1" ht="15.75">
      <c r="B88" s="233"/>
      <c r="C88" s="171"/>
      <c r="D88" s="163" t="s">
        <v>70</v>
      </c>
      <c r="E88" s="164" t="s">
        <v>71</v>
      </c>
      <c r="F88" s="174"/>
      <c r="G88" s="174"/>
      <c r="H88" s="174">
        <v>1</v>
      </c>
      <c r="I88" s="172"/>
      <c r="J88" s="173"/>
      <c r="K88" s="247"/>
    </row>
    <row r="89" spans="1:11" s="232" customFormat="1" ht="15.75">
      <c r="B89" s="233"/>
      <c r="C89" s="171"/>
      <c r="D89" s="163" t="s">
        <v>85</v>
      </c>
      <c r="E89" s="164" t="s">
        <v>76</v>
      </c>
      <c r="F89" s="165"/>
      <c r="G89" s="165"/>
      <c r="H89" s="165">
        <f>H88*H87</f>
        <v>212016.34999999998</v>
      </c>
      <c r="I89" s="172"/>
      <c r="J89" s="173"/>
      <c r="K89" s="247"/>
    </row>
    <row r="90" spans="1:11" s="176" customFormat="1" ht="60">
      <c r="B90" s="244"/>
      <c r="C90" s="74" t="s">
        <v>126</v>
      </c>
      <c r="D90" s="75" t="s">
        <v>165</v>
      </c>
      <c r="E90" s="175"/>
      <c r="F90" s="77">
        <v>0</v>
      </c>
      <c r="G90" s="77">
        <v>0</v>
      </c>
      <c r="I90" s="78" t="s">
        <v>166</v>
      </c>
      <c r="J90" s="79"/>
      <c r="K90" s="243" t="s">
        <v>219</v>
      </c>
    </row>
    <row r="91" spans="1:11" s="176" customFormat="1" ht="15.75">
      <c r="B91" s="244"/>
      <c r="C91" s="74"/>
      <c r="D91" s="81" t="s">
        <v>84</v>
      </c>
      <c r="E91" s="82" t="s">
        <v>68</v>
      </c>
      <c r="F91" s="177">
        <f>'[1]00. Data'!E31+'[1]00. Data'!E32</f>
        <v>34800</v>
      </c>
      <c r="G91" s="177">
        <f>H87</f>
        <v>212016.34999999998</v>
      </c>
      <c r="I91" s="78"/>
      <c r="J91" s="79"/>
      <c r="K91" s="243"/>
    </row>
    <row r="92" spans="1:11" s="176" customFormat="1" ht="45">
      <c r="B92" s="244"/>
      <c r="C92" s="74"/>
      <c r="D92" s="81" t="s">
        <v>70</v>
      </c>
      <c r="E92" s="82" t="s">
        <v>71</v>
      </c>
      <c r="F92" s="178">
        <v>0.7</v>
      </c>
      <c r="G92" s="178">
        <v>0.85</v>
      </c>
      <c r="I92" s="78" t="s">
        <v>167</v>
      </c>
      <c r="J92" s="79"/>
      <c r="K92" s="243"/>
    </row>
    <row r="93" spans="1:11" s="176" customFormat="1" ht="15.75">
      <c r="B93" s="244"/>
      <c r="C93" s="74"/>
      <c r="D93" s="81" t="s">
        <v>85</v>
      </c>
      <c r="E93" s="82" t="s">
        <v>76</v>
      </c>
      <c r="F93" s="177">
        <f>F92*F91</f>
        <v>24360</v>
      </c>
      <c r="G93" s="177">
        <f>G92*G91</f>
        <v>180213.89749999996</v>
      </c>
      <c r="I93" s="78"/>
      <c r="J93" s="79"/>
      <c r="K93" s="243"/>
    </row>
    <row r="94" spans="1:11" s="176" customFormat="1" ht="15.75">
      <c r="B94" s="244"/>
      <c r="C94" s="80"/>
      <c r="D94" s="86" t="s">
        <v>98</v>
      </c>
      <c r="E94" s="82" t="s">
        <v>76</v>
      </c>
      <c r="F94" s="177">
        <v>500000000</v>
      </c>
      <c r="G94" s="177">
        <v>500000000</v>
      </c>
      <c r="I94" s="78"/>
      <c r="J94" s="79"/>
      <c r="K94" s="243"/>
    </row>
    <row r="95" spans="1:11" s="176" customFormat="1" ht="15.75">
      <c r="B95" s="244"/>
      <c r="C95" s="74"/>
      <c r="D95" s="81" t="s">
        <v>87</v>
      </c>
      <c r="E95" s="82" t="s">
        <v>71</v>
      </c>
      <c r="F95" s="178">
        <v>0.12</v>
      </c>
      <c r="G95" s="178">
        <v>0.12</v>
      </c>
      <c r="I95" s="78"/>
      <c r="J95" s="79"/>
      <c r="K95" s="243"/>
    </row>
    <row r="96" spans="1:11" s="248" customFormat="1" ht="31.5">
      <c r="B96" s="249"/>
      <c r="C96" s="179" t="s">
        <v>168</v>
      </c>
      <c r="D96" s="180" t="s">
        <v>169</v>
      </c>
      <c r="E96" s="181"/>
      <c r="F96" s="182">
        <v>0</v>
      </c>
      <c r="G96" s="182">
        <v>0</v>
      </c>
      <c r="H96" s="183"/>
      <c r="I96" s="184" t="s">
        <v>170</v>
      </c>
      <c r="J96" s="185"/>
      <c r="K96" s="250"/>
    </row>
    <row r="97" spans="2:11" s="248" customFormat="1" ht="31.5">
      <c r="B97" s="249"/>
      <c r="C97" s="186"/>
      <c r="D97" s="187" t="s">
        <v>171</v>
      </c>
      <c r="E97" s="188" t="s">
        <v>68</v>
      </c>
      <c r="F97" s="189">
        <f>'[1]00. Data'!E35</f>
        <v>66447.675000000003</v>
      </c>
      <c r="G97" s="189">
        <f>F97</f>
        <v>66447.675000000003</v>
      </c>
      <c r="H97" s="183"/>
      <c r="I97" s="184"/>
      <c r="J97" s="185"/>
      <c r="K97" s="250"/>
    </row>
    <row r="98" spans="2:11" s="248" customFormat="1" ht="15.75">
      <c r="B98" s="249"/>
      <c r="C98" s="186"/>
      <c r="D98" s="187" t="s">
        <v>70</v>
      </c>
      <c r="E98" s="188" t="s">
        <v>71</v>
      </c>
      <c r="F98" s="190">
        <v>1</v>
      </c>
      <c r="G98" s="190">
        <f>F98</f>
        <v>1</v>
      </c>
      <c r="H98" s="183"/>
      <c r="I98" s="184"/>
      <c r="J98" s="185"/>
      <c r="K98" s="250"/>
    </row>
    <row r="99" spans="2:11" s="248" customFormat="1" ht="15.75">
      <c r="B99" s="249"/>
      <c r="C99" s="186"/>
      <c r="D99" s="187" t="s">
        <v>172</v>
      </c>
      <c r="E99" s="188" t="s">
        <v>76</v>
      </c>
      <c r="F99" s="189">
        <v>350000000</v>
      </c>
      <c r="G99" s="189">
        <f>F99</f>
        <v>350000000</v>
      </c>
      <c r="H99" s="183"/>
      <c r="I99" s="184"/>
      <c r="J99" s="185"/>
      <c r="K99" s="250"/>
    </row>
    <row r="100" spans="2:11" ht="99.75">
      <c r="B100" s="224" t="s">
        <v>220</v>
      </c>
      <c r="C100" s="41" t="s">
        <v>173</v>
      </c>
      <c r="D100" s="89" t="s">
        <v>174</v>
      </c>
      <c r="E100" s="191"/>
      <c r="F100" s="50">
        <f>F101+F108</f>
        <v>177.5</v>
      </c>
      <c r="G100" s="280">
        <f>G101+G108</f>
        <v>667.5</v>
      </c>
      <c r="H100" s="45"/>
      <c r="I100" s="46"/>
      <c r="J100" s="92"/>
      <c r="K100" s="245"/>
    </row>
    <row r="101" spans="2:11" s="253" customFormat="1" ht="63">
      <c r="B101" s="251"/>
      <c r="C101" s="192" t="s">
        <v>175</v>
      </c>
      <c r="D101" s="193" t="s">
        <v>176</v>
      </c>
      <c r="E101" s="194"/>
      <c r="F101" s="195">
        <v>0</v>
      </c>
      <c r="G101" s="196">
        <v>0</v>
      </c>
      <c r="H101" s="197"/>
      <c r="I101" s="198" t="s">
        <v>177</v>
      </c>
      <c r="J101" s="199"/>
      <c r="K101" s="252"/>
    </row>
    <row r="102" spans="2:11" s="253" customFormat="1" ht="15.75">
      <c r="B102" s="251"/>
      <c r="C102" s="192"/>
      <c r="D102" s="200" t="s">
        <v>114</v>
      </c>
      <c r="E102" s="194" t="s">
        <v>71</v>
      </c>
      <c r="F102" s="201">
        <v>0.1</v>
      </c>
      <c r="G102" s="196"/>
      <c r="H102" s="197"/>
      <c r="I102" s="198"/>
      <c r="J102" s="199"/>
      <c r="K102" s="252"/>
    </row>
    <row r="103" spans="2:11" s="253" customFormat="1" ht="16.5">
      <c r="B103" s="251"/>
      <c r="C103" s="192"/>
      <c r="D103" s="202" t="s">
        <v>101</v>
      </c>
      <c r="E103" s="194" t="s">
        <v>71</v>
      </c>
      <c r="F103" s="201">
        <v>0.3</v>
      </c>
      <c r="G103" s="196"/>
      <c r="H103" s="197"/>
      <c r="I103" s="198"/>
      <c r="J103" s="199"/>
      <c r="K103" s="252"/>
    </row>
    <row r="104" spans="2:11" s="253" customFormat="1" ht="33">
      <c r="B104" s="251"/>
      <c r="C104" s="203" t="s">
        <v>144</v>
      </c>
      <c r="D104" s="204" t="s">
        <v>178</v>
      </c>
      <c r="E104" s="194" t="s">
        <v>63</v>
      </c>
      <c r="F104" s="196">
        <f>F105*F$103*F$102</f>
        <v>7.5</v>
      </c>
      <c r="G104" s="196"/>
      <c r="H104" s="197"/>
      <c r="I104" s="198"/>
      <c r="J104" s="199"/>
      <c r="K104" s="252"/>
    </row>
    <row r="105" spans="2:11" s="253" customFormat="1" ht="16.5">
      <c r="B105" s="251"/>
      <c r="C105" s="205"/>
      <c r="D105" s="206" t="s">
        <v>179</v>
      </c>
      <c r="E105" s="194" t="s">
        <v>63</v>
      </c>
      <c r="F105" s="196">
        <f>50*5</f>
        <v>250</v>
      </c>
      <c r="G105" s="196"/>
      <c r="H105" s="197"/>
      <c r="I105" s="198" t="s">
        <v>180</v>
      </c>
      <c r="J105" s="199"/>
      <c r="K105" s="252"/>
    </row>
    <row r="106" spans="2:11" s="253" customFormat="1" ht="33">
      <c r="B106" s="251"/>
      <c r="C106" s="203" t="s">
        <v>150</v>
      </c>
      <c r="D106" s="204" t="s">
        <v>181</v>
      </c>
      <c r="E106" s="194" t="s">
        <v>63</v>
      </c>
      <c r="F106" s="196">
        <f>F107*F$103*F$102</f>
        <v>7.5</v>
      </c>
      <c r="G106" s="196"/>
      <c r="H106" s="197"/>
      <c r="I106" s="198"/>
      <c r="J106" s="199"/>
      <c r="K106" s="252"/>
    </row>
    <row r="107" spans="2:11" s="253" customFormat="1" ht="16.5">
      <c r="B107" s="251"/>
      <c r="C107" s="207"/>
      <c r="D107" s="206" t="s">
        <v>179</v>
      </c>
      <c r="E107" s="194" t="s">
        <v>63</v>
      </c>
      <c r="F107" s="196">
        <f>50*5</f>
        <v>250</v>
      </c>
      <c r="G107" s="196"/>
      <c r="H107" s="197"/>
      <c r="I107" s="198" t="s">
        <v>180</v>
      </c>
      <c r="J107" s="199"/>
      <c r="K107" s="252"/>
    </row>
    <row r="108" spans="2:11" ht="49.5">
      <c r="C108" s="41" t="s">
        <v>182</v>
      </c>
      <c r="D108" s="208" t="s">
        <v>183</v>
      </c>
      <c r="E108" s="209"/>
      <c r="F108" s="50">
        <f>F126+F109+F116</f>
        <v>177.5</v>
      </c>
      <c r="G108" s="280">
        <f>G126+G109+G116</f>
        <v>667.5</v>
      </c>
      <c r="H108" s="210"/>
      <c r="I108" s="211"/>
      <c r="J108" s="92" t="s">
        <v>184</v>
      </c>
      <c r="K108" s="245"/>
    </row>
    <row r="109" spans="2:11" s="232" customFormat="1" ht="157.5">
      <c r="B109" s="233"/>
      <c r="C109" s="212" t="s">
        <v>144</v>
      </c>
      <c r="D109" s="213" t="s">
        <v>185</v>
      </c>
      <c r="E109" s="214"/>
      <c r="F109" s="215">
        <f>0.7*F110*F112*F115*F114*F111</f>
        <v>105</v>
      </c>
      <c r="G109" s="281">
        <f>0.7*G110*G112*G115*G114*G111</f>
        <v>262.5</v>
      </c>
      <c r="H109" s="121"/>
      <c r="I109" s="111" t="s">
        <v>186</v>
      </c>
      <c r="J109" s="112"/>
      <c r="K109" s="308" t="s">
        <v>221</v>
      </c>
    </row>
    <row r="110" spans="2:11" s="232" customFormat="1" ht="31.5">
      <c r="B110" s="233"/>
      <c r="C110" s="171"/>
      <c r="D110" s="216" t="s">
        <v>187</v>
      </c>
      <c r="E110" s="217" t="s">
        <v>63</v>
      </c>
      <c r="F110" s="165">
        <f>20*50</f>
        <v>1000</v>
      </c>
      <c r="G110" s="165">
        <f>30*50</f>
        <v>1500</v>
      </c>
      <c r="H110" s="218"/>
      <c r="I110" s="172" t="s">
        <v>188</v>
      </c>
      <c r="J110" s="173"/>
      <c r="K110" s="308"/>
    </row>
    <row r="111" spans="2:11" s="232" customFormat="1" ht="15.75">
      <c r="B111" s="233"/>
      <c r="C111" s="171"/>
      <c r="D111" s="216" t="s">
        <v>189</v>
      </c>
      <c r="E111" s="217" t="s">
        <v>190</v>
      </c>
      <c r="F111" s="165">
        <v>5</v>
      </c>
      <c r="G111" s="165">
        <v>5</v>
      </c>
      <c r="H111" s="218"/>
      <c r="I111" s="172"/>
      <c r="J111" s="173"/>
      <c r="K111" s="308"/>
    </row>
    <row r="112" spans="2:11" s="232" customFormat="1" ht="30">
      <c r="B112" s="233"/>
      <c r="C112" s="171"/>
      <c r="D112" s="216" t="s">
        <v>191</v>
      </c>
      <c r="E112" s="217" t="s">
        <v>71</v>
      </c>
      <c r="F112" s="174">
        <v>1</v>
      </c>
      <c r="G112" s="174">
        <v>1</v>
      </c>
      <c r="H112" s="218"/>
      <c r="I112" s="172" t="s">
        <v>192</v>
      </c>
      <c r="J112" s="173"/>
      <c r="K112" s="308"/>
    </row>
    <row r="113" spans="2:12" s="232" customFormat="1" ht="15.75">
      <c r="B113" s="233"/>
      <c r="C113" s="171"/>
      <c r="D113" s="216" t="s">
        <v>193</v>
      </c>
      <c r="E113" s="217" t="s">
        <v>71</v>
      </c>
      <c r="F113" s="219">
        <v>4.9799999999999997E-2</v>
      </c>
      <c r="G113" s="219">
        <v>4.9799999999999997E-2</v>
      </c>
      <c r="H113" s="218"/>
      <c r="I113" s="220"/>
      <c r="J113" s="173"/>
      <c r="K113" s="308"/>
    </row>
    <row r="114" spans="2:12" s="232" customFormat="1" ht="15.75">
      <c r="B114" s="233"/>
      <c r="C114" s="171"/>
      <c r="D114" s="216" t="s">
        <v>194</v>
      </c>
      <c r="E114" s="217" t="s">
        <v>71</v>
      </c>
      <c r="F114" s="221">
        <v>0.1</v>
      </c>
      <c r="G114" s="221">
        <v>0.1</v>
      </c>
      <c r="H114" s="218"/>
      <c r="I114" s="220"/>
      <c r="J114" s="173"/>
      <c r="K114" s="308"/>
    </row>
    <row r="115" spans="2:12" s="232" customFormat="1" ht="15.75">
      <c r="B115" s="233"/>
      <c r="C115" s="171"/>
      <c r="D115" s="216" t="s">
        <v>101</v>
      </c>
      <c r="E115" s="217" t="s">
        <v>71</v>
      </c>
      <c r="F115" s="174">
        <v>0.3</v>
      </c>
      <c r="G115" s="174">
        <v>0.5</v>
      </c>
      <c r="H115" s="218"/>
      <c r="I115" s="220"/>
      <c r="J115" s="173"/>
      <c r="K115" s="308"/>
    </row>
    <row r="116" spans="2:12" s="232" customFormat="1" ht="141.75">
      <c r="B116" s="233"/>
      <c r="C116" s="212" t="s">
        <v>150</v>
      </c>
      <c r="D116" s="213" t="s">
        <v>195</v>
      </c>
      <c r="E116" s="214"/>
      <c r="F116" s="215">
        <f>F124+F125</f>
        <v>52.499999999999993</v>
      </c>
      <c r="G116" s="281">
        <f>G119*G120*12*G121*G123/10^9</f>
        <v>405</v>
      </c>
      <c r="H116" s="121"/>
      <c r="I116" s="111" t="s">
        <v>186</v>
      </c>
      <c r="J116" s="112"/>
      <c r="K116" s="308" t="s">
        <v>222</v>
      </c>
      <c r="L116" s="232" t="s">
        <v>223</v>
      </c>
    </row>
    <row r="117" spans="2:12" s="232" customFormat="1" ht="15.75">
      <c r="B117" s="233"/>
      <c r="C117" s="118"/>
      <c r="D117" s="222" t="s">
        <v>196</v>
      </c>
      <c r="E117" s="119" t="s">
        <v>197</v>
      </c>
      <c r="F117" s="120">
        <v>10</v>
      </c>
      <c r="G117" s="120">
        <v>320</v>
      </c>
      <c r="H117" s="223"/>
      <c r="I117" s="111"/>
      <c r="J117" s="112"/>
      <c r="K117" s="308"/>
    </row>
    <row r="118" spans="2:12" s="232" customFormat="1" ht="15.75">
      <c r="B118" s="233"/>
      <c r="C118" s="118"/>
      <c r="D118" s="222" t="s">
        <v>198</v>
      </c>
      <c r="E118" s="119" t="s">
        <v>63</v>
      </c>
      <c r="F118" s="120">
        <v>30</v>
      </c>
      <c r="G118" s="120">
        <f t="shared" ref="G118:G122" si="2">F118</f>
        <v>30</v>
      </c>
      <c r="H118" s="223"/>
      <c r="I118" s="111"/>
      <c r="J118" s="112"/>
      <c r="K118" s="308"/>
    </row>
    <row r="119" spans="2:12" s="232" customFormat="1" ht="15.75">
      <c r="B119" s="233"/>
      <c r="C119" s="118"/>
      <c r="D119" s="222" t="s">
        <v>199</v>
      </c>
      <c r="E119" s="119" t="s">
        <v>200</v>
      </c>
      <c r="F119" s="120">
        <v>5000</v>
      </c>
      <c r="G119" s="120">
        <v>22500</v>
      </c>
      <c r="H119" s="223"/>
      <c r="I119" s="111"/>
      <c r="J119" s="112"/>
      <c r="K119" s="308"/>
    </row>
    <row r="120" spans="2:12" s="232" customFormat="1" ht="15.75">
      <c r="B120" s="233"/>
      <c r="C120" s="118"/>
      <c r="D120" s="222" t="s">
        <v>201</v>
      </c>
      <c r="E120" s="119" t="s">
        <v>76</v>
      </c>
      <c r="F120" s="120">
        <v>300000</v>
      </c>
      <c r="G120" s="120">
        <f t="shared" si="2"/>
        <v>300000</v>
      </c>
      <c r="H120" s="223"/>
      <c r="I120" s="111"/>
      <c r="J120" s="112"/>
      <c r="K120" s="308"/>
      <c r="L120" s="232">
        <f>405000000000/3600000/5</f>
        <v>22500</v>
      </c>
    </row>
    <row r="121" spans="2:12" s="232" customFormat="1" ht="15.75">
      <c r="B121" s="233"/>
      <c r="C121" s="118"/>
      <c r="D121" s="222" t="s">
        <v>202</v>
      </c>
      <c r="E121" s="119" t="s">
        <v>190</v>
      </c>
      <c r="F121" s="120">
        <v>5</v>
      </c>
      <c r="G121" s="120">
        <f t="shared" si="2"/>
        <v>5</v>
      </c>
      <c r="H121" s="223"/>
      <c r="I121" s="111"/>
      <c r="J121" s="112"/>
      <c r="K121" s="308"/>
    </row>
    <row r="122" spans="2:12" s="232" customFormat="1" ht="15.75">
      <c r="B122" s="233"/>
      <c r="C122" s="118"/>
      <c r="D122" s="222" t="s">
        <v>203</v>
      </c>
      <c r="E122" s="119" t="s">
        <v>71</v>
      </c>
      <c r="F122" s="122">
        <v>0</v>
      </c>
      <c r="G122" s="120">
        <f t="shared" si="2"/>
        <v>0</v>
      </c>
      <c r="H122" s="223"/>
      <c r="I122" s="111"/>
      <c r="J122" s="112"/>
      <c r="K122" s="308"/>
    </row>
    <row r="123" spans="2:12" s="232" customFormat="1" ht="15.75">
      <c r="B123" s="233"/>
      <c r="C123" s="118"/>
      <c r="D123" s="222" t="s">
        <v>204</v>
      </c>
      <c r="E123" s="119" t="s">
        <v>71</v>
      </c>
      <c r="F123" s="122">
        <v>1</v>
      </c>
      <c r="G123" s="122">
        <v>1</v>
      </c>
      <c r="H123" s="223"/>
      <c r="I123" s="111"/>
      <c r="J123" s="112"/>
      <c r="K123" s="308"/>
    </row>
    <row r="124" spans="2:12" s="232" customFormat="1" ht="31.5">
      <c r="B124" s="233"/>
      <c r="C124" s="118"/>
      <c r="D124" s="213" t="s">
        <v>224</v>
      </c>
      <c r="E124" s="214" t="s">
        <v>63</v>
      </c>
      <c r="F124" s="215">
        <f>(F117*F118*F122)</f>
        <v>0</v>
      </c>
      <c r="G124" s="215">
        <f>(G117*G118*G122)</f>
        <v>0</v>
      </c>
      <c r="H124" s="223"/>
      <c r="I124" s="111"/>
      <c r="J124" s="112"/>
      <c r="K124" s="308"/>
    </row>
    <row r="125" spans="2:12" s="232" customFormat="1" ht="31.5">
      <c r="B125" s="233"/>
      <c r="C125" s="118"/>
      <c r="D125" s="213" t="s">
        <v>225</v>
      </c>
      <c r="E125" s="214" t="s">
        <v>63</v>
      </c>
      <c r="F125" s="215">
        <f>0.7*F121*F123*F117*F119*(F120/10^9)</f>
        <v>52.499999999999993</v>
      </c>
      <c r="G125" s="215">
        <f>0.7*G121*G123*G117*G119*(G120/10^9)*12</f>
        <v>90719.999999999985</v>
      </c>
      <c r="H125" s="223"/>
      <c r="I125" s="111"/>
      <c r="J125" s="112"/>
      <c r="K125" s="308"/>
    </row>
    <row r="126" spans="2:12" ht="47.25">
      <c r="C126" s="254" t="s">
        <v>162</v>
      </c>
      <c r="D126" s="255" t="s">
        <v>226</v>
      </c>
      <c r="E126" s="90" t="s">
        <v>63</v>
      </c>
      <c r="F126" s="104">
        <f>200*0.1</f>
        <v>20</v>
      </c>
      <c r="G126" s="96">
        <v>0</v>
      </c>
      <c r="H126" s="256"/>
      <c r="I126" s="46"/>
      <c r="J126" s="92"/>
      <c r="K126" s="245"/>
      <c r="L126" t="s">
        <v>219</v>
      </c>
    </row>
    <row r="127" spans="2:12" s="267" customFormat="1" ht="47.25">
      <c r="B127" s="257"/>
      <c r="C127" s="258" t="s">
        <v>227</v>
      </c>
      <c r="D127" s="259" t="s">
        <v>228</v>
      </c>
      <c r="E127" s="260"/>
      <c r="F127" s="261">
        <f>F129*F128</f>
        <v>252</v>
      </c>
      <c r="G127" s="262"/>
      <c r="H127" s="263"/>
      <c r="I127" s="264"/>
      <c r="J127" s="265"/>
      <c r="K127" s="266"/>
      <c r="L127" s="267" t="s">
        <v>219</v>
      </c>
    </row>
    <row r="128" spans="2:12" ht="15.75">
      <c r="C128" s="268"/>
      <c r="D128" s="269" t="s">
        <v>229</v>
      </c>
      <c r="E128" s="90"/>
      <c r="F128" s="104">
        <v>126</v>
      </c>
      <c r="G128" s="96"/>
      <c r="H128" s="45"/>
      <c r="I128" s="46"/>
      <c r="J128" s="92"/>
      <c r="K128" s="245"/>
    </row>
    <row r="129" spans="3:12" ht="15.75">
      <c r="C129" s="268"/>
      <c r="D129" s="269" t="s">
        <v>230</v>
      </c>
      <c r="E129" s="90"/>
      <c r="F129" s="104">
        <v>2</v>
      </c>
      <c r="G129" s="96"/>
      <c r="H129" s="45"/>
      <c r="I129" s="46"/>
      <c r="J129" s="92"/>
      <c r="K129" s="245"/>
    </row>
    <row r="130" spans="3:12" ht="47.25">
      <c r="C130" s="41" t="s">
        <v>231</v>
      </c>
      <c r="D130" s="89" t="s">
        <v>232</v>
      </c>
      <c r="E130" s="270"/>
      <c r="F130" s="50">
        <f>F131+F132</f>
        <v>179</v>
      </c>
      <c r="G130" s="50">
        <f>G131+G132+G133</f>
        <v>987.6</v>
      </c>
      <c r="H130" s="45"/>
      <c r="I130" s="46"/>
      <c r="J130" s="92"/>
      <c r="K130" s="245"/>
    </row>
    <row r="131" spans="3:12" ht="60">
      <c r="C131" s="268" t="s">
        <v>233</v>
      </c>
      <c r="D131" s="255" t="s">
        <v>234</v>
      </c>
      <c r="E131" s="90" t="s">
        <v>63</v>
      </c>
      <c r="F131" s="104">
        <v>164</v>
      </c>
      <c r="G131" s="279">
        <v>753</v>
      </c>
      <c r="H131" s="45"/>
      <c r="I131" s="46" t="s">
        <v>235</v>
      </c>
      <c r="J131" s="92"/>
      <c r="K131" s="245" t="s">
        <v>252</v>
      </c>
      <c r="L131">
        <f>167*5</f>
        <v>835</v>
      </c>
    </row>
    <row r="132" spans="3:12" ht="126">
      <c r="C132" s="268" t="s">
        <v>236</v>
      </c>
      <c r="D132" s="255" t="s">
        <v>237</v>
      </c>
      <c r="E132" s="90" t="s">
        <v>63</v>
      </c>
      <c r="F132" s="104">
        <f>3*5</f>
        <v>15</v>
      </c>
      <c r="G132" s="279">
        <v>129.6</v>
      </c>
      <c r="H132" s="45"/>
      <c r="I132" s="46" t="s">
        <v>238</v>
      </c>
      <c r="J132" s="92"/>
      <c r="K132" s="245" t="s">
        <v>252</v>
      </c>
    </row>
    <row r="133" spans="3:12" ht="15.75">
      <c r="C133" s="268" t="s">
        <v>239</v>
      </c>
      <c r="D133" s="255" t="s">
        <v>240</v>
      </c>
      <c r="E133" s="90"/>
      <c r="F133" s="104"/>
      <c r="G133" s="280">
        <v>105</v>
      </c>
      <c r="H133" s="45"/>
      <c r="I133" s="46" t="s">
        <v>241</v>
      </c>
      <c r="J133" s="92"/>
      <c r="K133" s="245"/>
    </row>
    <row r="134" spans="3:12" ht="31.5">
      <c r="C134" s="41" t="s">
        <v>242</v>
      </c>
      <c r="D134" s="89" t="s">
        <v>243</v>
      </c>
      <c r="E134" s="270" t="s">
        <v>63</v>
      </c>
      <c r="F134" s="50">
        <f>SUM(F135:F138)</f>
        <v>33330</v>
      </c>
      <c r="G134" s="50"/>
      <c r="H134" s="45"/>
      <c r="I134" s="46"/>
      <c r="J134" s="92"/>
      <c r="K134" s="245"/>
    </row>
    <row r="135" spans="3:12" ht="15.75">
      <c r="C135" s="41"/>
      <c r="D135" s="102" t="s">
        <v>244</v>
      </c>
      <c r="E135" s="270" t="s">
        <v>63</v>
      </c>
      <c r="F135" s="96">
        <f>F52</f>
        <v>11830</v>
      </c>
      <c r="G135" s="96"/>
      <c r="H135" s="45"/>
      <c r="I135" s="46"/>
      <c r="J135" s="92"/>
      <c r="K135" s="245"/>
    </row>
    <row r="136" spans="3:12" ht="31.5">
      <c r="C136" s="41"/>
      <c r="D136" s="102" t="s">
        <v>245</v>
      </c>
      <c r="E136" s="270" t="s">
        <v>63</v>
      </c>
      <c r="F136" s="96">
        <f>F57</f>
        <v>17400</v>
      </c>
      <c r="G136" s="96"/>
      <c r="H136" s="45"/>
      <c r="I136" s="46"/>
      <c r="J136" s="92"/>
      <c r="K136" s="245"/>
    </row>
    <row r="137" spans="3:12" ht="47.25">
      <c r="C137" s="41"/>
      <c r="D137" s="102" t="s">
        <v>131</v>
      </c>
      <c r="E137" s="270" t="s">
        <v>63</v>
      </c>
      <c r="F137" s="96">
        <f>F65</f>
        <v>2600</v>
      </c>
      <c r="G137" s="96"/>
      <c r="H137" s="45"/>
      <c r="I137" s="46"/>
      <c r="J137" s="92"/>
      <c r="K137" s="245"/>
    </row>
    <row r="138" spans="3:12" ht="31.5">
      <c r="C138" s="41"/>
      <c r="D138" s="102" t="s">
        <v>246</v>
      </c>
      <c r="E138" s="270"/>
      <c r="F138" s="96">
        <f>G110</f>
        <v>1500</v>
      </c>
      <c r="G138" s="96"/>
      <c r="H138" s="45"/>
      <c r="I138" s="46"/>
      <c r="J138" s="92"/>
      <c r="K138" s="245"/>
    </row>
    <row r="139" spans="3:12" ht="15.75">
      <c r="C139" s="41" t="s">
        <v>247</v>
      </c>
      <c r="D139" s="89" t="s">
        <v>248</v>
      </c>
      <c r="E139" s="270"/>
      <c r="F139" s="50">
        <f>0.7*F140*F141</f>
        <v>1161.8837999999998</v>
      </c>
      <c r="G139" s="96"/>
      <c r="H139" s="45"/>
      <c r="I139" s="46"/>
      <c r="J139" s="92"/>
      <c r="K139" s="245"/>
    </row>
    <row r="140" spans="3:12" ht="15.75">
      <c r="C140" s="41"/>
      <c r="D140" s="102" t="s">
        <v>249</v>
      </c>
      <c r="E140" s="270" t="s">
        <v>71</v>
      </c>
      <c r="F140" s="96">
        <f>F134</f>
        <v>33330</v>
      </c>
      <c r="G140" s="96"/>
      <c r="H140" s="45"/>
      <c r="I140" s="46"/>
      <c r="J140" s="92"/>
      <c r="K140" s="245"/>
    </row>
    <row r="141" spans="3:12" ht="15.75">
      <c r="C141" s="41"/>
      <c r="D141" s="102" t="s">
        <v>250</v>
      </c>
      <c r="E141" s="270" t="s">
        <v>71</v>
      </c>
      <c r="F141" s="271">
        <v>4.9799999999999997E-2</v>
      </c>
      <c r="G141" s="96"/>
      <c r="H141" s="45"/>
      <c r="I141" s="46"/>
      <c r="J141" s="92"/>
      <c r="K141" s="245"/>
    </row>
    <row r="143" spans="3:12">
      <c r="I143" t="s">
        <v>251</v>
      </c>
    </row>
    <row r="144" spans="3:12">
      <c r="I144" s="45">
        <v>6205</v>
      </c>
      <c r="J144" s="45">
        <v>12817</v>
      </c>
      <c r="K144" s="228"/>
    </row>
    <row r="145" spans="4:13" hidden="1">
      <c r="I145" s="45">
        <f>L145+L146</f>
        <v>783</v>
      </c>
      <c r="J145" s="45">
        <f>M145+M146</f>
        <v>1312</v>
      </c>
      <c r="K145" s="228"/>
      <c r="L145">
        <v>213</v>
      </c>
      <c r="M145">
        <v>457</v>
      </c>
    </row>
    <row r="146" spans="4:13" hidden="1">
      <c r="F146">
        <v>8229</v>
      </c>
      <c r="G146">
        <v>10287</v>
      </c>
      <c r="I146" s="45"/>
      <c r="J146" s="45"/>
      <c r="K146" s="228"/>
      <c r="L146">
        <v>570</v>
      </c>
      <c r="M146">
        <v>855</v>
      </c>
    </row>
    <row r="147" spans="4:13" hidden="1">
      <c r="F147">
        <v>1068</v>
      </c>
      <c r="G147">
        <v>1881</v>
      </c>
      <c r="I147" s="272">
        <f>SUM(L147:L151)</f>
        <v>4486</v>
      </c>
      <c r="J147" s="272">
        <f>SUM(M147:M151)</f>
        <v>4699</v>
      </c>
      <c r="K147" s="273"/>
      <c r="L147">
        <v>164</v>
      </c>
      <c r="M147">
        <v>164</v>
      </c>
    </row>
    <row r="148" spans="4:13" hidden="1">
      <c r="F148">
        <v>4288</v>
      </c>
      <c r="G148">
        <v>4501</v>
      </c>
      <c r="I148" s="45">
        <v>328</v>
      </c>
      <c r="J148" s="45">
        <v>698</v>
      </c>
      <c r="K148" s="228"/>
      <c r="L148">
        <v>696</v>
      </c>
      <c r="M148">
        <v>696</v>
      </c>
    </row>
    <row r="149" spans="4:13" ht="16.5" hidden="1">
      <c r="D149" s="274"/>
      <c r="F149">
        <v>328</v>
      </c>
      <c r="G149">
        <v>698</v>
      </c>
      <c r="I149" s="275">
        <f>SUM(I144:I148)</f>
        <v>11802</v>
      </c>
      <c r="J149" s="275">
        <f>SUM(J144:J148)</f>
        <v>19526</v>
      </c>
      <c r="K149" s="276"/>
      <c r="L149">
        <v>1957</v>
      </c>
      <c r="M149">
        <v>1960</v>
      </c>
    </row>
    <row r="150" spans="4:13" ht="16.5" hidden="1">
      <c r="D150" s="277"/>
      <c r="F150" s="278">
        <f>SUM(F146:F149)</f>
        <v>13913</v>
      </c>
      <c r="G150" s="278">
        <f>SUM(G146:G149)</f>
        <v>17367</v>
      </c>
      <c r="L150">
        <v>833</v>
      </c>
      <c r="M150">
        <v>1041</v>
      </c>
    </row>
    <row r="151" spans="4:13" ht="16.5" hidden="1">
      <c r="D151" s="274"/>
      <c r="L151">
        <v>836</v>
      </c>
      <c r="M151">
        <v>838</v>
      </c>
    </row>
  </sheetData>
  <mergeCells count="13">
    <mergeCell ref="K116:K125"/>
    <mergeCell ref="J4:J5"/>
    <mergeCell ref="K8:K15"/>
    <mergeCell ref="K43:K65"/>
    <mergeCell ref="K67:K75"/>
    <mergeCell ref="K76:K84"/>
    <mergeCell ref="K109:K115"/>
    <mergeCell ref="C1:I1"/>
    <mergeCell ref="D4:D5"/>
    <mergeCell ref="E4:E5"/>
    <mergeCell ref="F4:H4"/>
    <mergeCell ref="I4:I5"/>
    <mergeCell ref="C4:C5"/>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Hà Trần</dc:creator>
  <cp:lastModifiedBy>NEW</cp:lastModifiedBy>
  <cp:lastPrinted>2026-05-12T15:59:58Z</cp:lastPrinted>
  <dcterms:created xsi:type="dcterms:W3CDTF">2026-05-06T06:28:01Z</dcterms:created>
  <dcterms:modified xsi:type="dcterms:W3CDTF">2026-05-13T03:27:51Z</dcterms:modified>
</cp:coreProperties>
</file>